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585" windowWidth="14880" windowHeight="4560" tabRatio="760"/>
  </bookViews>
  <sheets>
    <sheet name="Instructions" sheetId="24" r:id="rId1"/>
    <sheet name="Assay Quick Start Guide" sheetId="23" r:id="rId2"/>
    <sheet name="Raw Data &amp; Analysis Setup" sheetId="2" r:id="rId3"/>
    <sheet name="Results" sheetId="4" r:id="rId4"/>
    <sheet name="Calculation" sheetId="5" r:id="rId5"/>
  </sheets>
  <definedNames>
    <definedName name="OLE_LINK1" localSheetId="1">'Assay Quick Start Guide'!$F$16</definedName>
  </definedNames>
  <calcPr calcId="145621"/>
</workbook>
</file>

<file path=xl/calcChain.xml><?xml version="1.0" encoding="utf-8"?>
<calcChain xmlns="http://schemas.openxmlformats.org/spreadsheetml/2006/main">
  <c r="A4" i="4" l="1"/>
  <c r="A5" i="4"/>
  <c r="A6" i="4"/>
  <c r="A7" i="4"/>
  <c r="A8" i="4"/>
  <c r="A9" i="4"/>
  <c r="A10" i="4"/>
  <c r="A11" i="4"/>
  <c r="A12" i="4"/>
  <c r="A13" i="4"/>
  <c r="A14" i="4"/>
  <c r="A3" i="4"/>
  <c r="U13" i="5" l="1"/>
  <c r="T13" i="5"/>
  <c r="F13" i="4" s="1"/>
  <c r="H13" i="4"/>
  <c r="G13" i="4"/>
  <c r="E13" i="4"/>
  <c r="B13" i="4"/>
  <c r="C13" i="4"/>
  <c r="D13" i="4" s="1"/>
  <c r="H12" i="4" l="1"/>
  <c r="H11" i="4"/>
  <c r="H10" i="4"/>
  <c r="H9" i="4"/>
  <c r="H8" i="4"/>
  <c r="H7" i="4"/>
  <c r="H6" i="4"/>
  <c r="H5" i="4"/>
  <c r="H4" i="4"/>
  <c r="H3" i="4"/>
  <c r="E12" i="4" l="1"/>
  <c r="E11" i="4"/>
  <c r="E10" i="4"/>
  <c r="E9" i="4"/>
  <c r="E8" i="4"/>
  <c r="E7" i="4"/>
  <c r="E6" i="4"/>
  <c r="E5" i="4"/>
  <c r="E4" i="4"/>
  <c r="E3" i="4"/>
  <c r="W3" i="5"/>
  <c r="W4" i="5"/>
  <c r="W5" i="5"/>
  <c r="W6" i="5"/>
  <c r="W7" i="5"/>
  <c r="W8" i="5"/>
  <c r="W9" i="5"/>
  <c r="W10" i="5"/>
  <c r="W11" i="5"/>
  <c r="W12" i="5"/>
  <c r="W13" i="5"/>
  <c r="B10" i="23" l="1"/>
  <c r="B9" i="23"/>
  <c r="B8" i="23"/>
  <c r="B7" i="23"/>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2" i="5"/>
  <c r="I65" i="5" l="1"/>
  <c r="E65" i="2" s="1"/>
  <c r="F65" i="2" s="1"/>
  <c r="I56" i="5"/>
  <c r="E56" i="2" s="1"/>
  <c r="F56" i="2" s="1"/>
  <c r="I41" i="5"/>
  <c r="E41" i="2" s="1"/>
  <c r="F41" i="2" s="1"/>
  <c r="I32" i="5"/>
  <c r="E32" i="2" s="1"/>
  <c r="F32" i="2" s="1"/>
  <c r="I20" i="5"/>
  <c r="E20" i="2" s="1"/>
  <c r="F20" i="2" s="1"/>
  <c r="I68" i="5"/>
  <c r="E68" i="2" s="1"/>
  <c r="F68" i="2" s="1"/>
  <c r="H53" i="5"/>
  <c r="D53" i="2" s="1"/>
  <c r="I44" i="5"/>
  <c r="E44" i="2" s="1"/>
  <c r="F44" i="2" s="1"/>
  <c r="I29" i="5"/>
  <c r="E29" i="2" s="1"/>
  <c r="F29" i="2" s="1"/>
  <c r="I17" i="5"/>
  <c r="E17" i="2" s="1"/>
  <c r="F17" i="2" s="1"/>
  <c r="I71" i="5"/>
  <c r="E71" i="2" s="1"/>
  <c r="F71" i="2" s="1"/>
  <c r="I59" i="5"/>
  <c r="E59" i="2" s="1"/>
  <c r="F59" i="2" s="1"/>
  <c r="I47" i="5"/>
  <c r="E47" i="2" s="1"/>
  <c r="F47" i="2" s="1"/>
  <c r="I35" i="5"/>
  <c r="E35" i="2" s="1"/>
  <c r="F35" i="2" s="1"/>
  <c r="I23" i="5"/>
  <c r="E23" i="2" s="1"/>
  <c r="F23" i="2" s="1"/>
  <c r="I62" i="5"/>
  <c r="E62" i="2" s="1"/>
  <c r="F62" i="2" s="1"/>
  <c r="I50" i="5"/>
  <c r="E50" i="2" s="1"/>
  <c r="F50" i="2" s="1"/>
  <c r="I38" i="5"/>
  <c r="E38" i="2" s="1"/>
  <c r="F38" i="2" s="1"/>
  <c r="I26" i="5"/>
  <c r="E26" i="2" s="1"/>
  <c r="F26" i="2" s="1"/>
  <c r="H14" i="5"/>
  <c r="H56" i="5"/>
  <c r="X12" i="5" s="1"/>
  <c r="H32" i="5"/>
  <c r="X8" i="5" s="1"/>
  <c r="H65" i="5"/>
  <c r="H41" i="5"/>
  <c r="H29" i="5"/>
  <c r="I53" i="5"/>
  <c r="E53" i="2" s="1"/>
  <c r="F53" i="2" s="1"/>
  <c r="H62" i="5"/>
  <c r="X13" i="5" s="1"/>
  <c r="H50" i="5"/>
  <c r="X11" i="5" s="1"/>
  <c r="H38" i="5"/>
  <c r="X9" i="5" s="1"/>
  <c r="H26" i="5"/>
  <c r="X7" i="5" s="1"/>
  <c r="H68" i="5"/>
  <c r="H44" i="5"/>
  <c r="X10" i="5" s="1"/>
  <c r="H20" i="5"/>
  <c r="X6" i="5" s="1"/>
  <c r="H17" i="5"/>
  <c r="I14" i="5"/>
  <c r="E14" i="2" s="1"/>
  <c r="F14" i="2" s="1"/>
  <c r="H71" i="5"/>
  <c r="H59" i="5"/>
  <c r="H47" i="5"/>
  <c r="H35" i="5"/>
  <c r="H23" i="5"/>
  <c r="H11" i="5"/>
  <c r="I11" i="5"/>
  <c r="E11" i="2" s="1"/>
  <c r="F11" i="2" s="1"/>
  <c r="H8" i="5"/>
  <c r="I5" i="5"/>
  <c r="E5" i="2" s="1"/>
  <c r="F5" i="2" s="1"/>
  <c r="H5" i="5"/>
  <c r="I8" i="5"/>
  <c r="E8" i="2" s="1"/>
  <c r="F8" i="2" s="1"/>
  <c r="I2" i="5"/>
  <c r="E2" i="2" s="1"/>
  <c r="F2" i="2" s="1"/>
  <c r="H2" i="5"/>
  <c r="X3" i="5" s="1"/>
  <c r="D14" i="2" l="1"/>
  <c r="X5" i="5"/>
  <c r="D8" i="2"/>
  <c r="X4" i="5"/>
  <c r="D44" i="2"/>
  <c r="D50" i="2"/>
  <c r="D65" i="2"/>
  <c r="D59" i="2"/>
  <c r="D68" i="2"/>
  <c r="D62" i="2"/>
  <c r="D71" i="2"/>
  <c r="D26" i="2"/>
  <c r="D29" i="2"/>
  <c r="D47" i="2"/>
  <c r="D56" i="2"/>
  <c r="D23" i="2"/>
  <c r="D17" i="2"/>
  <c r="D35" i="2"/>
  <c r="D20" i="2"/>
  <c r="D38" i="2"/>
  <c r="D41" i="2"/>
  <c r="D32" i="2"/>
  <c r="D11" i="2"/>
  <c r="D5" i="2"/>
  <c r="D2" i="2"/>
  <c r="M14" i="5" l="1"/>
  <c r="W14" i="5" s="1"/>
  <c r="X14" i="5" s="1"/>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2" i="5"/>
  <c r="J14" i="5" l="1"/>
  <c r="K14" i="5" s="1"/>
  <c r="J53" i="5"/>
  <c r="J11" i="5"/>
  <c r="J47" i="5"/>
  <c r="J35" i="5"/>
  <c r="J20" i="5"/>
  <c r="J62" i="5"/>
  <c r="J38" i="5"/>
  <c r="J8" i="5"/>
  <c r="J59" i="5"/>
  <c r="J71" i="5"/>
  <c r="J56" i="5"/>
  <c r="J50" i="5"/>
  <c r="K50" i="5" s="1"/>
  <c r="J68" i="5"/>
  <c r="J26" i="5"/>
  <c r="J5" i="5"/>
  <c r="J44" i="5"/>
  <c r="J41" i="5"/>
  <c r="J65" i="5"/>
  <c r="K65" i="5" s="1"/>
  <c r="J29" i="5"/>
  <c r="J23" i="5"/>
  <c r="J2" i="5"/>
  <c r="J17" i="5"/>
  <c r="J32" i="5"/>
  <c r="K68" i="5" l="1"/>
  <c r="N14" i="5" s="1"/>
  <c r="K8" i="5"/>
  <c r="K23" i="5"/>
  <c r="K38" i="5"/>
  <c r="K17" i="5"/>
  <c r="K26" i="5"/>
  <c r="K59" i="5"/>
  <c r="K44" i="5"/>
  <c r="K41" i="5"/>
  <c r="K35" i="5"/>
  <c r="K71" i="5"/>
  <c r="K11" i="5"/>
  <c r="K56" i="5"/>
  <c r="K20" i="5"/>
  <c r="K53" i="5"/>
  <c r="K47" i="5"/>
  <c r="K32" i="5"/>
  <c r="K5" i="5"/>
  <c r="K2" i="5"/>
  <c r="K62" i="5"/>
  <c r="K29" i="5"/>
  <c r="N3" i="5" l="1"/>
  <c r="Y3" i="5"/>
  <c r="N4" i="5"/>
  <c r="O3" i="5"/>
  <c r="O11" i="5"/>
  <c r="Y12" i="5"/>
  <c r="Y11" i="5"/>
  <c r="N11" i="5"/>
  <c r="Y4" i="5"/>
  <c r="N12" i="5"/>
  <c r="O4" i="5"/>
  <c r="O12" i="5"/>
  <c r="Y14" i="5"/>
  <c r="Y13" i="5"/>
  <c r="Y5" i="5"/>
  <c r="Z5" i="5" s="1"/>
  <c r="Y10" i="5"/>
  <c r="Y8" i="5"/>
  <c r="Y9" i="5"/>
  <c r="Y6" i="5"/>
  <c r="Y7" i="5"/>
  <c r="O7" i="5"/>
  <c r="N6" i="5"/>
  <c r="O14" i="5"/>
  <c r="O8" i="5"/>
  <c r="O9" i="5"/>
  <c r="O10" i="5"/>
  <c r="O5" i="5"/>
  <c r="N7" i="5"/>
  <c r="N8" i="5"/>
  <c r="O6" i="5"/>
  <c r="N9" i="5"/>
  <c r="O13" i="5"/>
  <c r="N5" i="5"/>
  <c r="N13" i="5"/>
  <c r="N10" i="5"/>
  <c r="Z11" i="5" l="1"/>
  <c r="AA11" i="5" s="1"/>
  <c r="Z12" i="5"/>
  <c r="AA12" i="5" s="1"/>
  <c r="Z3" i="5"/>
  <c r="AA3" i="5" s="1"/>
  <c r="B3" i="4" s="1"/>
  <c r="Z4" i="5"/>
  <c r="AA4" i="5" s="1"/>
  <c r="Z7" i="5"/>
  <c r="AA7" i="5" s="1"/>
  <c r="Z6" i="5"/>
  <c r="Z9" i="5"/>
  <c r="AA9" i="5" s="1"/>
  <c r="Z10" i="5"/>
  <c r="AA10" i="5" s="1"/>
  <c r="Z8" i="5"/>
  <c r="AA8" i="5" s="1"/>
  <c r="Z13" i="5"/>
  <c r="AA13" i="5" s="1"/>
  <c r="Z14" i="5"/>
  <c r="AA14" i="5" s="1"/>
  <c r="B14" i="4" s="1"/>
  <c r="P3" i="5"/>
  <c r="P4" i="5"/>
  <c r="P12" i="5"/>
  <c r="P11" i="5"/>
  <c r="AA5" i="5"/>
  <c r="P9" i="5"/>
  <c r="P6" i="5"/>
  <c r="P8" i="5"/>
  <c r="P7" i="5"/>
  <c r="P14" i="5"/>
  <c r="P13" i="5"/>
  <c r="P10" i="5"/>
  <c r="P5" i="5"/>
  <c r="Q14" i="5" l="1"/>
  <c r="S14" i="5" s="1"/>
  <c r="U14" i="5"/>
  <c r="T14" i="5"/>
  <c r="C7" i="4"/>
  <c r="D7" i="4" s="1"/>
  <c r="Q6" i="5"/>
  <c r="G6" i="4" s="1"/>
  <c r="C11" i="4"/>
  <c r="D11" i="4" s="1"/>
  <c r="C12" i="4"/>
  <c r="D12" i="4" s="1"/>
  <c r="Q4" i="5"/>
  <c r="T4" i="5" s="1"/>
  <c r="C5" i="4"/>
  <c r="D5" i="4" s="1"/>
  <c r="C8" i="4"/>
  <c r="D8" i="4" s="1"/>
  <c r="C3" i="4"/>
  <c r="D3" i="4" s="1"/>
  <c r="C10" i="4"/>
  <c r="D10" i="4" s="1"/>
  <c r="C9" i="4"/>
  <c r="D9" i="4" s="1"/>
  <c r="AA6" i="5"/>
  <c r="B6" i="4" s="1"/>
  <c r="Q3" i="5"/>
  <c r="G3" i="4" s="1"/>
  <c r="Q11" i="5"/>
  <c r="U11" i="5" s="1"/>
  <c r="B8" i="4"/>
  <c r="B10" i="4"/>
  <c r="B11" i="4"/>
  <c r="B9" i="4"/>
  <c r="B4" i="4"/>
  <c r="Q5" i="5"/>
  <c r="G5" i="4" s="1"/>
  <c r="R14" i="5"/>
  <c r="B7" i="4"/>
  <c r="Q12" i="5"/>
  <c r="T12" i="5" s="1"/>
  <c r="B12" i="4"/>
  <c r="B5" i="4"/>
  <c r="C4" i="4"/>
  <c r="D4" i="4" s="1"/>
  <c r="C6" i="4"/>
  <c r="D6" i="4" s="1"/>
  <c r="Q9" i="5"/>
  <c r="G9" i="4" s="1"/>
  <c r="Q8" i="5"/>
  <c r="U8" i="5" s="1"/>
  <c r="Q7" i="5"/>
  <c r="U7" i="5" s="1"/>
  <c r="Q13" i="5"/>
  <c r="Q10" i="5"/>
  <c r="G10" i="4" s="1"/>
  <c r="U5" i="5" l="1"/>
  <c r="G8" i="4"/>
  <c r="U3" i="5"/>
  <c r="T5" i="5"/>
  <c r="G11" i="4"/>
  <c r="T10" i="5"/>
  <c r="R6" i="5"/>
  <c r="S6" i="5" s="1"/>
  <c r="T8" i="5"/>
  <c r="G7" i="4"/>
  <c r="U4" i="5"/>
  <c r="T6" i="5"/>
  <c r="G4" i="4"/>
  <c r="R4" i="5"/>
  <c r="S4" i="5" s="1"/>
  <c r="F4" i="4" s="1"/>
  <c r="U9" i="5"/>
  <c r="U10" i="5"/>
  <c r="T11" i="5"/>
  <c r="G12" i="4"/>
  <c r="U12" i="5"/>
  <c r="T9" i="5"/>
  <c r="T7" i="5"/>
  <c r="T3" i="5"/>
  <c r="U6" i="5"/>
  <c r="R3" i="5"/>
  <c r="R11" i="5"/>
  <c r="R5" i="5"/>
  <c r="R10" i="5"/>
  <c r="R13" i="5"/>
  <c r="S13" i="5" s="1"/>
  <c r="R8" i="5"/>
  <c r="R12" i="5"/>
  <c r="R7" i="5"/>
  <c r="R9" i="5"/>
  <c r="S9" i="5" s="1"/>
  <c r="F9" i="4" l="1"/>
  <c r="S8" i="5"/>
  <c r="F8" i="4" s="1"/>
  <c r="S10" i="5"/>
  <c r="F10" i="4" s="1"/>
  <c r="S7" i="5"/>
  <c r="F7" i="4" s="1"/>
  <c r="S5" i="5"/>
  <c r="F5" i="4" s="1"/>
  <c r="S11" i="5"/>
  <c r="F11" i="4" s="1"/>
  <c r="S12" i="5"/>
  <c r="F12" i="4" s="1"/>
  <c r="F6" i="4"/>
  <c r="S3" i="5"/>
  <c r="F3" i="4" s="1"/>
</calcChain>
</file>

<file path=xl/sharedStrings.xml><?xml version="1.0" encoding="utf-8"?>
<sst xmlns="http://schemas.openxmlformats.org/spreadsheetml/2006/main" count="286" uniqueCount="131">
  <si>
    <t>Well</t>
  </si>
  <si>
    <t>Component</t>
  </si>
  <si>
    <t>RNase-/DNase-free water</t>
  </si>
  <si>
    <t>Control</t>
  </si>
  <si>
    <t>Assays</t>
  </si>
  <si>
    <t>Sample Position</t>
  </si>
  <si>
    <t>Sample ID</t>
  </si>
  <si>
    <t>Control Position</t>
  </si>
  <si>
    <t>Genomic DNA (Control or Sample)</t>
  </si>
  <si>
    <t>Raw Data</t>
  </si>
  <si>
    <t xml:space="preserve">Generally, only change data in yellow cells. Gray and white cells contain formulas for calculation or results. Please do not change them. </t>
  </si>
  <si>
    <t xml:space="preserve">QC Call </t>
  </si>
  <si>
    <t>Added Cycles</t>
  </si>
  <si>
    <t>S1</t>
  </si>
  <si>
    <t>S2</t>
  </si>
  <si>
    <t>S3</t>
  </si>
  <si>
    <t>S4</t>
  </si>
  <si>
    <t>S5</t>
  </si>
  <si>
    <t>S6</t>
  </si>
  <si>
    <t>S7</t>
  </si>
  <si>
    <t>S8</t>
  </si>
  <si>
    <t>S9</t>
  </si>
  <si>
    <t>S10</t>
  </si>
  <si>
    <t>S11</t>
  </si>
  <si>
    <t>Total volume</t>
  </si>
  <si>
    <t>Primer Assay100 or Assay200</t>
  </si>
  <si>
    <t>Assay100</t>
  </si>
  <si>
    <t>Assay200</t>
  </si>
  <si>
    <t>Sample number (n)</t>
  </si>
  <si>
    <t>X</t>
  </si>
  <si>
    <t>Y</t>
  </si>
  <si>
    <t>Assay QC</t>
  </si>
  <si>
    <t>Standard Deviation</t>
  </si>
  <si>
    <r>
      <t>Average C</t>
    </r>
    <r>
      <rPr>
        <b/>
        <vertAlign val="subscript"/>
        <sz val="11"/>
        <color theme="1"/>
        <rFont val="Calibri"/>
        <family val="2"/>
        <scheme val="minor"/>
      </rPr>
      <t>T</t>
    </r>
  </si>
  <si>
    <t>Layout</t>
  </si>
  <si>
    <r>
      <t>Control C</t>
    </r>
    <r>
      <rPr>
        <b/>
        <vertAlign val="subscript"/>
        <sz val="11"/>
        <color theme="1"/>
        <rFont val="Calibri"/>
        <family val="2"/>
        <scheme val="minor"/>
      </rPr>
      <t>T</t>
    </r>
  </si>
  <si>
    <r>
      <t>ΔC</t>
    </r>
    <r>
      <rPr>
        <b/>
        <vertAlign val="subscript"/>
        <sz val="11"/>
        <color theme="1"/>
        <rFont val="Calibri"/>
        <family val="2"/>
        <scheme val="minor"/>
      </rPr>
      <t>T</t>
    </r>
    <r>
      <rPr>
        <b/>
        <sz val="11"/>
        <color theme="1"/>
        <rFont val="Calibri"/>
        <family val="2"/>
        <scheme val="minor"/>
      </rPr>
      <t xml:space="preserve"> (Sample-Control)</t>
    </r>
  </si>
  <si>
    <t>Assay Group (bp)</t>
  </si>
  <si>
    <t>Slope</t>
  </si>
  <si>
    <r>
      <rPr>
        <b/>
        <sz val="11"/>
        <rFont val="Calibri"/>
        <family val="2"/>
      </rPr>
      <t>∆</t>
    </r>
    <r>
      <rPr>
        <b/>
        <sz val="11"/>
        <rFont val="Calibri"/>
        <family val="2"/>
        <scheme val="minor"/>
      </rPr>
      <t>C</t>
    </r>
    <r>
      <rPr>
        <b/>
        <vertAlign val="subscript"/>
        <sz val="11"/>
        <rFont val="Calibri"/>
        <family val="2"/>
        <scheme val="minor"/>
      </rPr>
      <t>T</t>
    </r>
  </si>
  <si>
    <t>Sample</t>
  </si>
  <si>
    <t>S1_100</t>
  </si>
  <si>
    <t>S9_100</t>
  </si>
  <si>
    <t>S1_200</t>
  </si>
  <si>
    <t>S9_200</t>
  </si>
  <si>
    <t>S2_100</t>
  </si>
  <si>
    <t>S10_100</t>
  </si>
  <si>
    <t>S2_200</t>
  </si>
  <si>
    <t>S10_200</t>
  </si>
  <si>
    <t>S3_100</t>
  </si>
  <si>
    <t>S11_100</t>
  </si>
  <si>
    <t>S3_200</t>
  </si>
  <si>
    <t>S11_200</t>
  </si>
  <si>
    <t>S4_100</t>
  </si>
  <si>
    <t>S4_200</t>
  </si>
  <si>
    <t>S5_100</t>
  </si>
  <si>
    <t>S5_200</t>
  </si>
  <si>
    <t>S6_100</t>
  </si>
  <si>
    <t>S6_200</t>
  </si>
  <si>
    <t>S7_100</t>
  </si>
  <si>
    <t>S7_200</t>
  </si>
  <si>
    <t>S8_100</t>
  </si>
  <si>
    <t>Control_100</t>
  </si>
  <si>
    <t>S8_200</t>
  </si>
  <si>
    <t>Control_200</t>
  </si>
  <si>
    <t>Volume</t>
  </si>
  <si>
    <r>
      <t>ΔC</t>
    </r>
    <r>
      <rPr>
        <b/>
        <vertAlign val="subscript"/>
        <sz val="11"/>
        <rFont val="Calibri"/>
        <family val="2"/>
        <scheme val="minor"/>
      </rPr>
      <t>T</t>
    </r>
    <r>
      <rPr>
        <b/>
        <sz val="11"/>
        <rFont val="Calibri"/>
        <family val="2"/>
        <scheme val="minor"/>
      </rPr>
      <t>150</t>
    </r>
  </si>
  <si>
    <t xml:space="preserve">QC Score </t>
  </si>
  <si>
    <t>Quality Control Results</t>
  </si>
  <si>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200</t>
    </r>
  </si>
  <si>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100</t>
    </r>
  </si>
  <si>
    <t>Volume (µL)</t>
  </si>
  <si>
    <t xml:space="preserve">6. Run the following real-time PCR cycling program: </t>
  </si>
  <si>
    <r>
      <t xml:space="preserve">4 </t>
    </r>
    <r>
      <rPr>
        <sz val="11"/>
        <color theme="1"/>
        <rFont val="Calibri"/>
        <family val="2"/>
      </rPr>
      <t>μL</t>
    </r>
  </si>
  <si>
    <t>28 μL</t>
  </si>
  <si>
    <t>32 μL</t>
  </si>
  <si>
    <t>enter number</t>
  </si>
  <si>
    <t>S1:</t>
  </si>
  <si>
    <t>S2:</t>
  </si>
  <si>
    <t>S3:</t>
  </si>
  <si>
    <t>S4:</t>
  </si>
  <si>
    <t>S5:</t>
  </si>
  <si>
    <t>S6:</t>
  </si>
  <si>
    <t>S7:</t>
  </si>
  <si>
    <t>S8:</t>
  </si>
  <si>
    <t>S9:</t>
  </si>
  <si>
    <t>S10:</t>
  </si>
  <si>
    <t>Control:</t>
  </si>
  <si>
    <r>
      <t>Sample Conc. (ng/</t>
    </r>
    <r>
      <rPr>
        <b/>
        <sz val="11"/>
        <color theme="1"/>
        <rFont val="Arial"/>
        <family val="2"/>
      </rPr>
      <t>µ</t>
    </r>
    <r>
      <rPr>
        <b/>
        <sz val="11"/>
        <color theme="1"/>
        <rFont val="Calibri"/>
        <family val="2"/>
      </rPr>
      <t>L)</t>
    </r>
  </si>
  <si>
    <t>Lower Vol.</t>
  </si>
  <si>
    <t>Upper Vol.</t>
  </si>
  <si>
    <t>If QC score&lt;=0.04, use 40 - 100ng of the sample</t>
  </si>
  <si>
    <t>If QC score&gt;0.04 and X&lt;=9, use 120 - 250ng of the sample</t>
  </si>
  <si>
    <t>If X&gt;9, do not proceed with sequencing sample</t>
  </si>
  <si>
    <t>Quick Start Guide for QIAseq DNA QuantiMIZE Assay Kit</t>
  </si>
  <si>
    <t>QIAseq qPCR SYBR Green Mastermix</t>
  </si>
  <si>
    <t>Thyroid Tumor</t>
  </si>
  <si>
    <t>Normal Thyroid</t>
  </si>
  <si>
    <t>Melanoma 1</t>
  </si>
  <si>
    <t>Paired Breast Tumor</t>
  </si>
  <si>
    <t>Paired Normal Breast</t>
  </si>
  <si>
    <t>Melanoma 2</t>
  </si>
  <si>
    <t>NTS (all-prep)</t>
  </si>
  <si>
    <t>N30 (all-prep)</t>
  </si>
  <si>
    <t>PLT</t>
  </si>
  <si>
    <t>PLN</t>
  </si>
  <si>
    <t>S11:</t>
  </si>
  <si>
    <t>Please input sample concentrations for calculations!
Use NanoDrop or other methods.</t>
  </si>
  <si>
    <r>
      <t>Sample Concentration
(ng/</t>
    </r>
    <r>
      <rPr>
        <b/>
        <sz val="11"/>
        <rFont val="Arial"/>
        <family val="2"/>
      </rPr>
      <t>µ</t>
    </r>
    <r>
      <rPr>
        <b/>
        <sz val="11"/>
        <rFont val="Calibri"/>
        <family val="2"/>
        <scheme val="minor"/>
      </rPr>
      <t>L)</t>
    </r>
  </si>
  <si>
    <t xml:space="preserve">Sample Volume (µL)
Recommended </t>
  </si>
  <si>
    <r>
      <t>Sample Amount (</t>
    </r>
    <r>
      <rPr>
        <b/>
        <sz val="11"/>
        <rFont val="Calibri"/>
        <family val="2"/>
      </rPr>
      <t>ng</t>
    </r>
    <r>
      <rPr>
        <b/>
        <sz val="11"/>
        <rFont val="Calibri"/>
        <family val="2"/>
        <scheme val="minor"/>
      </rPr>
      <t>)
Recommended</t>
    </r>
  </si>
  <si>
    <t>Comments</t>
  </si>
  <si>
    <t>FFPE Melanoma</t>
  </si>
  <si>
    <t>Each gDNA Sample is interrogated by 6 reactions: 3 (triplicate) reactions using Assay100 and 3 (triplicate) reactions using Assay200.</t>
  </si>
  <si>
    <r>
      <rPr>
        <b/>
        <sz val="11"/>
        <color indexed="8"/>
        <rFont val="Calibri"/>
        <family val="2"/>
        <scheme val="minor"/>
      </rPr>
      <t>1. Assay Quick Start Guide:</t>
    </r>
    <r>
      <rPr>
        <sz val="11"/>
        <color indexed="8"/>
        <rFont val="Calibri"/>
        <family val="2"/>
        <scheme val="minor"/>
      </rPr>
      <t xml:space="preserve">
QuantiMIZE Assay Kit Guide - Input your number of Samples into the yellow "enter number" Cell E7, and then follow the protocol step-by-step to set up assays with your Samples' gDNA and the Control gDNA.</t>
    </r>
  </si>
  <si>
    <t>Always include QuantiMIZE Control gDNA in every run as described below, regardless of the number of gDNA Samples processed.</t>
  </si>
  <si>
    <r>
      <t xml:space="preserve">2. Dispense 16 </t>
    </r>
    <r>
      <rPr>
        <sz val="11"/>
        <rFont val="Calibri"/>
        <family val="2"/>
      </rPr>
      <t>μL</t>
    </r>
    <r>
      <rPr>
        <sz val="11"/>
        <rFont val="Calibri"/>
        <family val="2"/>
        <scheme val="minor"/>
      </rPr>
      <t xml:space="preserve"> of PCR Components Mix 1 (Assay100) or Mix 2 (Assay200) into the appropriate Sample-specific (up to the number of Samples being processed) and Control white or gray wells, respectively, according to layout below:</t>
    </r>
  </si>
  <si>
    <t>3. Dilute each Sample gDNA or Control gDNA separately with RNase-/DNase-free water according to the Table below.</t>
  </si>
  <si>
    <t>5. Vortex the tubes and spin them down.</t>
  </si>
  <si>
    <t>1. Prepare 2 PCR Components Mixes, Mix 1 using Primer Assay100 and Mix 2 for Primer Assay200.
For a complete recipe, input the number of Samples to be analyzed into the "enter number" yellow Cell E7.
Also prepare 1X PCR mastermix for any remaining wells without Sample gDNA.</t>
  </si>
  <si>
    <r>
      <t xml:space="preserve">4. Dispense 4 </t>
    </r>
    <r>
      <rPr>
        <sz val="11"/>
        <rFont val="Calibri"/>
        <family val="2"/>
      </rPr>
      <t>μL</t>
    </r>
    <r>
      <rPr>
        <sz val="11"/>
        <rFont val="Calibri"/>
        <family val="2"/>
        <scheme val="minor"/>
      </rPr>
      <t xml:space="preserve"> of each diluted Sample gDNA or Control gDNA into the appropriate tubes according to the Layout described in step 2 above.
Sample 1 (S1) occupies tubes 1 through 3 for Assay100 (white cells) and tubes 4 through 6 for Assay200 (shaded cells).
Sample 2 (S2) occupies tubes 7 through 9 and tubes 10 through 12, and so on up to the number of Samples being processed.
The diluted Control gDNA MUST BE ADDED to tubes 67 through 69 for Assay100 and tubes 70 through 72 for Assay200.
Finally, add 20 μL 1X PCR mastermix to any remaining empty tubes if less than 11 Samples are being tested.</t>
    </r>
  </si>
  <si>
    <t>Version 1.0, February 2017</t>
  </si>
  <si>
    <t>48µl</t>
  </si>
  <si>
    <t>-</t>
  </si>
  <si>
    <t xml:space="preserve"> 96µl</t>
  </si>
  <si>
    <t>1X mastermix, scale up as needed</t>
  </si>
  <si>
    <t xml:space="preserve">Instructions for Analyzing QIAseq DNA QuantiMIZE 72-Well Rotor Assay Kit Results for the QIAseq Targeted DNA Panels with this file: </t>
  </si>
  <si>
    <r>
      <t xml:space="preserve">2. Raw Data &amp; Analysis Setup Worksheet:
</t>
    </r>
    <r>
      <rPr>
        <sz val="11"/>
        <rFont val="Calibri"/>
        <family val="2"/>
        <scheme val="minor"/>
      </rPr>
      <t>a. Copy and Paste Special Values the raw C</t>
    </r>
    <r>
      <rPr>
        <vertAlign val="subscript"/>
        <sz val="11"/>
        <rFont val="Calibri"/>
        <family val="2"/>
        <scheme val="minor"/>
      </rPr>
      <t>T</t>
    </r>
    <r>
      <rPr>
        <sz val="11"/>
        <rFont val="Calibri"/>
        <family val="2"/>
        <scheme val="minor"/>
      </rPr>
      <t xml:space="preserve"> values from the real-time PCR instrument run of your Samples' gDNA and the Control gDNA into the yellow section under the "Raw Data" column, Cells B2 through B73.
When a "Delete the Outlier" message appears in the "Message" column F, identify the obvious outlier C</t>
    </r>
    <r>
      <rPr>
        <vertAlign val="subscript"/>
        <sz val="11"/>
        <rFont val="Calibri"/>
        <family val="2"/>
        <scheme val="minor"/>
      </rPr>
      <t>T</t>
    </r>
    <r>
      <rPr>
        <sz val="11"/>
        <rFont val="Calibri"/>
        <family val="2"/>
        <scheme val="minor"/>
      </rPr>
      <t xml:space="preserve"> value in Column B and manually delete it to insure the "Message" disappears.
b. Input the Samples' names into the yellow Cells I2 through I12. Each Sample must have a unique name.
c. Input the Samples' concentrations (as measured by NanoDrop or other methods) into the yellow Cells J2 through J12.
d. Delete any "Raw Data", "Sample ID", and "Sample Conc" information provided as an example that is not yours.</t>
    </r>
  </si>
  <si>
    <r>
      <t xml:space="preserve">3. Results:
a. Quality Control Results: Assay QC:
</t>
    </r>
    <r>
      <rPr>
        <sz val="11"/>
        <rFont val="Calibri"/>
        <family val="2"/>
        <scheme val="minor"/>
      </rPr>
      <t xml:space="preserve">If the "Assay QC" for all the Samples' gDNA and the Control gDNA reports “Pass”, then the assays performed optimally.
If the Control gDNA "Assay QC" reports “Fail”, double check the assay setup and real-time PCR program.
If any Sample’s "Assay QC" reports "Fail", the Sample may contain PCR inhibitor contaminants.
</t>
    </r>
    <r>
      <rPr>
        <b/>
        <sz val="11"/>
        <rFont val="Calibri"/>
        <family val="2"/>
        <scheme val="minor"/>
      </rPr>
      <t xml:space="preserve">b. Quality Control Results: QC Score &amp; QC Call:
</t>
    </r>
    <r>
      <rPr>
        <sz val="11"/>
        <rFont val="Calibri"/>
        <family val="2"/>
        <scheme val="minor"/>
      </rPr>
      <t xml:space="preserve">The "QC Score" provides an indication of DNA Sample damage or fragmentation.
Samples with a "QC Score" &lt;= 0.04 are given a "High" "QC Call", meaning high quality DNA and a low degree of damage or fragmentation.
Samples with a "QC Score" &gt; 0.04 are given a "Low" "QC Call", meaning low quality DNA and a high degree damage or fragmentation.
Samples with a "Low" "QC Call" may only be suitable for detection of high-frequency variants.
</t>
    </r>
    <r>
      <rPr>
        <b/>
        <sz val="11"/>
        <rFont val="Calibri"/>
        <family val="2"/>
        <scheme val="minor"/>
      </rPr>
      <t xml:space="preserve">c. Sample Volume and Amount Recommended:
</t>
    </r>
    <r>
      <rPr>
        <sz val="11"/>
        <rFont val="Calibri"/>
        <family val="2"/>
        <scheme val="minor"/>
      </rPr>
      <t xml:space="preserve">Columns F and G list the "Sample Volume" and "Sample Amount” ranges that are recommended for each Sample. If possible, the highest amount of Samples should be used.
</t>
    </r>
    <r>
      <rPr>
        <b/>
        <sz val="11"/>
        <rFont val="Calibri"/>
        <family val="2"/>
        <scheme val="minor"/>
      </rPr>
      <t xml:space="preserve">d. Comments:
</t>
    </r>
    <r>
      <rPr>
        <sz val="11"/>
        <rFont val="Calibri"/>
        <family val="2"/>
        <scheme val="minor"/>
      </rPr>
      <t xml:space="preserve">Even if a Sample is noted with the "Comment" "We do not recommend proceeding with this Sample.", up to 500 ng of Sample gDNA may still be used if a Sample must be processed. </t>
    </r>
  </si>
  <si>
    <t>Message</t>
  </si>
  <si>
    <r>
      <t>ng/</t>
    </r>
    <r>
      <rPr>
        <b/>
        <sz val="11"/>
        <rFont val="Symbol"/>
        <family val="1"/>
        <charset val="2"/>
      </rPr>
      <t>m</t>
    </r>
    <r>
      <rPr>
        <b/>
        <sz val="11"/>
        <rFont val="Calibri"/>
        <family val="2"/>
        <scheme val="minor"/>
      </rPr>
      <t xml:space="preserve">l-amplifiable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</si>
</sst>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4" x14ac:knownFonts="1">
    <font>
      <sz val="11"/>
      <color theme="1"/>
      <name val="Calibri"/>
      <family val="2"/>
      <scheme val="minor"/>
    </font>
    <font>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FF0000"/>
      <name val="Calibri"/>
      <family val="2"/>
      <scheme val="minor"/>
    </font>
    <font>
      <sz val="11"/>
      <color theme="0" tint="-0.14999847407452621"/>
      <name val="Calibri"/>
      <family val="2"/>
      <scheme val="minor"/>
    </font>
    <font>
      <sz val="11"/>
      <name val="Calibri"/>
      <family val="2"/>
      <scheme val="minor"/>
    </font>
    <font>
      <b/>
      <sz val="11"/>
      <color theme="1"/>
      <name val="Calibri"/>
      <family val="2"/>
      <scheme val="minor"/>
    </font>
    <font>
      <b/>
      <vertAlign val="subscript"/>
      <sz val="11"/>
      <color theme="1"/>
      <name val="Calibri"/>
      <family val="2"/>
      <scheme val="minor"/>
    </font>
    <font>
      <b/>
      <sz val="11"/>
      <name val="Calibri"/>
      <family val="2"/>
      <scheme val="minor"/>
    </font>
    <font>
      <b/>
      <vertAlign val="subscript"/>
      <sz val="11"/>
      <name val="Calibri"/>
      <family val="2"/>
      <scheme val="minor"/>
    </font>
    <font>
      <b/>
      <sz val="11"/>
      <name val="Calibri"/>
      <family val="2"/>
    </font>
    <font>
      <b/>
      <sz val="11"/>
      <color theme="1"/>
      <name val="Calibri"/>
      <family val="2"/>
    </font>
    <font>
      <sz val="11"/>
      <color theme="1"/>
      <name val="Calibri"/>
      <family val="2"/>
    </font>
    <font>
      <sz val="11"/>
      <name val="Calibri"/>
      <family val="2"/>
    </font>
    <font>
      <b/>
      <sz val="11"/>
      <color theme="1"/>
      <name val="Arial"/>
      <family val="2"/>
    </font>
    <font>
      <b/>
      <sz val="11"/>
      <name val="Arial"/>
      <family val="2"/>
    </font>
    <font>
      <b/>
      <sz val="11"/>
      <color rgb="FFFF0000"/>
      <name val="Calibri"/>
      <family val="2"/>
      <scheme val="minor"/>
    </font>
    <font>
      <sz val="11"/>
      <color indexed="8"/>
      <name val="Calibri"/>
      <family val="2"/>
      <scheme val="minor"/>
    </font>
    <font>
      <b/>
      <sz val="11"/>
      <color indexed="8"/>
      <name val="Calibri"/>
      <family val="2"/>
      <scheme val="minor"/>
    </font>
    <font>
      <vertAlign val="subscript"/>
      <sz val="11"/>
      <name val="Calibri"/>
      <family val="2"/>
      <scheme val="minor"/>
    </font>
    <font>
      <b/>
      <sz val="11"/>
      <name val="Symbol"/>
      <family val="1"/>
      <charset val="2"/>
    </font>
  </fonts>
  <fills count="7">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6">
    <xf numFmtId="0" fontId="0" fillId="0" borderId="0"/>
    <xf numFmtId="0" fontId="2" fillId="0" borderId="0"/>
    <xf numFmtId="0" fontId="1" fillId="0" borderId="0"/>
    <xf numFmtId="0" fontId="5" fillId="0" borderId="0"/>
    <xf numFmtId="0" fontId="3" fillId="0" borderId="0"/>
    <xf numFmtId="0" fontId="4" fillId="0" borderId="0"/>
  </cellStyleXfs>
  <cellXfs count="142">
    <xf numFmtId="0" fontId="0" fillId="0" borderId="0" xfId="0"/>
    <xf numFmtId="164" fontId="6" fillId="0" borderId="0" xfId="0" applyNumberFormat="1" applyFont="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1" fillId="4" borderId="1" xfId="1" applyFont="1" applyFill="1" applyBorder="1" applyAlignment="1">
      <alignment horizontal="center" vertical="center"/>
    </xf>
    <xf numFmtId="0" fontId="8" fillId="4" borderId="1" xfId="1" applyFont="1" applyFill="1" applyBorder="1" applyAlignment="1">
      <alignment vertical="center"/>
    </xf>
    <xf numFmtId="0" fontId="0" fillId="0" borderId="0" xfId="0" applyFont="1" applyAlignment="1">
      <alignment vertical="center"/>
    </xf>
    <xf numFmtId="0" fontId="0" fillId="3" borderId="1" xfId="0" applyFont="1" applyFill="1" applyBorder="1"/>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center"/>
    </xf>
    <xf numFmtId="164" fontId="4" fillId="0" borderId="1" xfId="0" applyNumberFormat="1" applyFont="1" applyBorder="1" applyAlignment="1">
      <alignment horizontal="center" vertical="center"/>
    </xf>
    <xf numFmtId="0" fontId="11" fillId="2" borderId="1" xfId="1" applyFont="1" applyFill="1" applyBorder="1" applyAlignment="1">
      <alignment horizontal="center" vertical="center"/>
    </xf>
    <xf numFmtId="0" fontId="8" fillId="2" borderId="1" xfId="1"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8" fillId="6" borderId="1" xfId="1" applyFont="1" applyFill="1" applyBorder="1" applyAlignment="1">
      <alignment vertical="center"/>
    </xf>
    <xf numFmtId="0" fontId="4" fillId="6" borderId="1" xfId="0" applyFont="1" applyFill="1" applyBorder="1" applyAlignment="1">
      <alignment vertical="center"/>
    </xf>
    <xf numFmtId="0" fontId="11" fillId="6" borderId="14" xfId="1" applyFont="1" applyFill="1" applyBorder="1" applyAlignment="1">
      <alignment horizontal="center" vertical="center"/>
    </xf>
    <xf numFmtId="0" fontId="9" fillId="6" borderId="1" xfId="0" applyFont="1" applyFill="1" applyBorder="1" applyAlignment="1">
      <alignment horizontal="center" vertical="center"/>
    </xf>
    <xf numFmtId="2" fontId="4" fillId="0" borderId="1" xfId="0" applyNumberFormat="1" applyFont="1" applyBorder="1" applyAlignment="1">
      <alignment vertical="center"/>
    </xf>
    <xf numFmtId="0" fontId="8" fillId="0" borderId="1" xfId="0" applyFont="1" applyBorder="1" applyAlignment="1">
      <alignment vertical="center"/>
    </xf>
    <xf numFmtId="0" fontId="4" fillId="0" borderId="1" xfId="0" applyFont="1" applyBorder="1" applyAlignment="1">
      <alignment horizontal="center" vertical="center"/>
    </xf>
    <xf numFmtId="2" fontId="8" fillId="0" borderId="1" xfId="0" applyNumberFormat="1" applyFont="1" applyBorder="1" applyAlignment="1">
      <alignment vertical="center"/>
    </xf>
    <xf numFmtId="0" fontId="4" fillId="4" borderId="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3" applyFont="1" applyFill="1" applyBorder="1" applyAlignment="1">
      <alignment vertical="center" wrapText="1"/>
    </xf>
    <xf numFmtId="0" fontId="4" fillId="0" borderId="0" xfId="3" applyFont="1" applyAlignment="1">
      <alignment vertical="center" wrapText="1"/>
    </xf>
    <xf numFmtId="0" fontId="9" fillId="0" borderId="0" xfId="3" applyFont="1" applyFill="1" applyBorder="1" applyAlignment="1">
      <alignment vertical="center" wrapText="1"/>
    </xf>
    <xf numFmtId="0" fontId="9"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8" fillId="0" borderId="0" xfId="3" applyFont="1" applyFill="1" applyAlignment="1">
      <alignment horizontal="center" vertical="center" wrapText="1"/>
    </xf>
    <xf numFmtId="0" fontId="8" fillId="0" borderId="0" xfId="3" applyFont="1" applyFill="1" applyAlignment="1">
      <alignment vertical="center" wrapText="1"/>
    </xf>
    <xf numFmtId="0" fontId="9" fillId="0" borderId="8" xfId="0" applyFont="1" applyBorder="1" applyAlignment="1">
      <alignment vertical="center" wrapText="1"/>
    </xf>
    <xf numFmtId="0" fontId="9" fillId="0" borderId="10" xfId="0" applyFont="1" applyBorder="1" applyAlignment="1">
      <alignment horizontal="center" vertical="center" wrapText="1"/>
    </xf>
    <xf numFmtId="0" fontId="4" fillId="0" borderId="0" xfId="0" applyFont="1" applyFill="1" applyBorder="1" applyAlignment="1">
      <alignment vertical="center" wrapText="1"/>
    </xf>
    <xf numFmtId="0" fontId="11" fillId="0" borderId="0" xfId="3" applyFont="1" applyFill="1" applyBorder="1" applyAlignment="1">
      <alignment vertical="center" wrapText="1"/>
    </xf>
    <xf numFmtId="0" fontId="7" fillId="0" borderId="0" xfId="0" applyFont="1" applyFill="1" applyAlignment="1">
      <alignment vertical="center"/>
    </xf>
    <xf numFmtId="0" fontId="8" fillId="4" borderId="1" xfId="1" applyFont="1" applyFill="1" applyBorder="1" applyAlignment="1">
      <alignment horizontal="left" vertical="center"/>
    </xf>
    <xf numFmtId="0"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1" fontId="0" fillId="4" borderId="22" xfId="0" applyNumberFormat="1" applyFont="1" applyFill="1" applyBorder="1" applyAlignment="1">
      <alignment horizontal="center" vertical="center"/>
    </xf>
    <xf numFmtId="164" fontId="4" fillId="0" borderId="0" xfId="0" applyNumberFormat="1" applyFont="1" applyAlignment="1">
      <alignment vertical="center"/>
    </xf>
    <xf numFmtId="165" fontId="4" fillId="0" borderId="0" xfId="0" applyNumberFormat="1" applyFont="1" applyAlignment="1">
      <alignment vertical="center"/>
    </xf>
    <xf numFmtId="165" fontId="0" fillId="4" borderId="1" xfId="0" applyNumberFormat="1" applyFont="1" applyFill="1" applyBorder="1" applyAlignment="1">
      <alignment horizontal="center" vertical="center"/>
    </xf>
    <xf numFmtId="165" fontId="0" fillId="4" borderId="22" xfId="0" applyNumberFormat="1" applyFont="1" applyFill="1" applyBorder="1" applyAlignment="1">
      <alignment horizontal="center" vertical="center"/>
    </xf>
    <xf numFmtId="2" fontId="8" fillId="3" borderId="1" xfId="0" applyNumberFormat="1" applyFont="1" applyFill="1" applyBorder="1" applyAlignment="1">
      <alignment vertical="center"/>
    </xf>
    <xf numFmtId="2" fontId="8" fillId="6" borderId="1" xfId="2" applyNumberFormat="1" applyFont="1" applyFill="1" applyBorder="1" applyAlignment="1">
      <alignment vertical="center"/>
    </xf>
    <xf numFmtId="0" fontId="0" fillId="6" borderId="1" xfId="0" applyFont="1" applyFill="1" applyBorder="1" applyAlignment="1">
      <alignment vertical="center"/>
    </xf>
    <xf numFmtId="0" fontId="9" fillId="0" borderId="1" xfId="0" applyFont="1" applyBorder="1" applyAlignment="1">
      <alignment horizontal="center" vertical="center"/>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23" xfId="0" applyNumberFormat="1" applyFont="1" applyBorder="1" applyAlignment="1">
      <alignment horizontal="center" vertical="center"/>
    </xf>
    <xf numFmtId="0" fontId="8" fillId="0" borderId="2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165" fontId="4" fillId="0" borderId="23" xfId="0" applyNumberFormat="1" applyFont="1" applyBorder="1" applyAlignment="1">
      <alignment vertical="center"/>
    </xf>
    <xf numFmtId="0" fontId="11" fillId="6" borderId="14" xfId="1" applyFont="1" applyFill="1" applyBorder="1" applyAlignment="1">
      <alignment horizontal="center" vertical="center"/>
    </xf>
    <xf numFmtId="165" fontId="4" fillId="0" borderId="1" xfId="0" applyNumberFormat="1" applyFont="1" applyBorder="1" applyAlignment="1">
      <alignment horizontal="center" vertical="center"/>
    </xf>
    <xf numFmtId="2" fontId="8" fillId="0" borderId="24"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165" fontId="4" fillId="0" borderId="21" xfId="0" applyNumberFormat="1" applyFont="1" applyBorder="1" applyAlignment="1">
      <alignment vertical="center"/>
    </xf>
    <xf numFmtId="2" fontId="8" fillId="0" borderId="22" xfId="0" applyNumberFormat="1" applyFont="1" applyFill="1" applyBorder="1" applyAlignment="1">
      <alignment horizontal="center" vertical="center"/>
    </xf>
    <xf numFmtId="0" fontId="8" fillId="0" borderId="26" xfId="0" applyNumberFormat="1" applyFont="1" applyBorder="1" applyAlignment="1">
      <alignment horizontal="left" vertical="center"/>
    </xf>
    <xf numFmtId="0" fontId="8" fillId="0" borderId="25" xfId="0" applyNumberFormat="1" applyFont="1" applyBorder="1" applyAlignment="1">
      <alignment horizontal="left" vertical="center"/>
    </xf>
    <xf numFmtId="165" fontId="0" fillId="3" borderId="1" xfId="0" applyNumberFormat="1" applyFont="1" applyFill="1" applyBorder="1" applyAlignment="1">
      <alignment horizontal="center"/>
    </xf>
    <xf numFmtId="0" fontId="11" fillId="0" borderId="1" xfId="1" applyFont="1" applyFill="1" applyBorder="1" applyAlignment="1">
      <alignment horizontal="center" vertical="center"/>
    </xf>
    <xf numFmtId="0" fontId="9" fillId="5" borderId="1" xfId="3"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9" xfId="0" applyFont="1" applyFill="1" applyBorder="1" applyAlignment="1">
      <alignment horizontal="left" vertical="center"/>
    </xf>
    <xf numFmtId="0" fontId="11" fillId="0" borderId="1" xfId="0" applyFont="1" applyFill="1" applyBorder="1" applyAlignment="1">
      <alignment horizontal="left" vertical="center" wrapText="1"/>
    </xf>
    <xf numFmtId="0" fontId="8" fillId="0" borderId="1" xfId="0" applyFont="1" applyFill="1" applyBorder="1" applyAlignment="1">
      <alignment vertical="center"/>
    </xf>
    <xf numFmtId="0" fontId="0" fillId="4" borderId="1" xfId="0" applyFont="1" applyFill="1" applyBorder="1" applyAlignment="1">
      <alignment horizontal="left" vertical="center" wrapText="1"/>
    </xf>
    <xf numFmtId="0" fontId="0" fillId="4" borderId="1" xfId="0" applyFont="1" applyFill="1" applyBorder="1" applyAlignment="1">
      <alignment vertical="center"/>
    </xf>
    <xf numFmtId="0" fontId="2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0" fillId="0" borderId="16" xfId="0" applyFont="1" applyFill="1" applyBorder="1" applyAlignment="1">
      <alignment vertical="center"/>
    </xf>
    <xf numFmtId="0" fontId="0" fillId="0" borderId="19" xfId="0" applyFont="1" applyFill="1" applyBorder="1" applyAlignment="1">
      <alignment vertical="center"/>
    </xf>
    <xf numFmtId="0" fontId="8" fillId="0" borderId="2"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0" fillId="0" borderId="15" xfId="3" applyFont="1" applyBorder="1" applyAlignment="1">
      <alignment horizontal="left" vertical="center" wrapText="1"/>
    </xf>
    <xf numFmtId="0" fontId="4" fillId="0" borderId="16" xfId="3" applyFont="1" applyBorder="1" applyAlignment="1">
      <alignment horizontal="left" vertical="center" wrapText="1"/>
    </xf>
    <xf numFmtId="0" fontId="4" fillId="0" borderId="19" xfId="3" applyFont="1" applyBorder="1" applyAlignment="1">
      <alignment horizontal="left" vertical="center" wrapText="1"/>
    </xf>
    <xf numFmtId="0" fontId="9" fillId="0" borderId="2" xfId="3" applyFont="1" applyBorder="1" applyAlignment="1">
      <alignment horizontal="left" vertical="center" wrapText="1"/>
    </xf>
    <xf numFmtId="0" fontId="9" fillId="0" borderId="17" xfId="3" applyFont="1" applyBorder="1" applyAlignment="1">
      <alignment horizontal="left" vertical="center" wrapText="1"/>
    </xf>
    <xf numFmtId="0" fontId="9" fillId="0" borderId="3" xfId="3" applyFont="1" applyBorder="1" applyAlignment="1">
      <alignment horizontal="left" vertical="center" wrapText="1"/>
    </xf>
    <xf numFmtId="0" fontId="0" fillId="0" borderId="4" xfId="3" applyFont="1" applyBorder="1" applyAlignment="1">
      <alignment horizontal="left" vertical="center" wrapText="1"/>
    </xf>
    <xf numFmtId="0" fontId="4" fillId="0" borderId="0" xfId="3" applyFont="1" applyBorder="1" applyAlignment="1">
      <alignment horizontal="left" vertical="center" wrapText="1"/>
    </xf>
    <xf numFmtId="0" fontId="4" fillId="0" borderId="5" xfId="3" applyFont="1" applyBorder="1" applyAlignment="1">
      <alignment horizontal="left" vertical="center" wrapText="1"/>
    </xf>
    <xf numFmtId="0" fontId="0" fillId="0" borderId="6" xfId="3" applyFont="1" applyBorder="1" applyAlignment="1">
      <alignment horizontal="left" vertical="center" wrapText="1"/>
    </xf>
    <xf numFmtId="0" fontId="4" fillId="0" borderId="18" xfId="3" applyFont="1" applyBorder="1" applyAlignment="1">
      <alignment horizontal="left" vertical="center" wrapText="1"/>
    </xf>
    <xf numFmtId="0" fontId="4" fillId="0" borderId="7" xfId="3" applyFont="1" applyBorder="1" applyAlignment="1">
      <alignment horizontal="left" vertical="center" wrapText="1"/>
    </xf>
    <xf numFmtId="0" fontId="0" fillId="0" borderId="2" xfId="3" applyFont="1" applyBorder="1" applyAlignment="1">
      <alignment horizontal="left" vertical="center" wrapText="1"/>
    </xf>
    <xf numFmtId="0" fontId="4" fillId="0" borderId="17" xfId="3" applyFont="1" applyBorder="1" applyAlignment="1">
      <alignment horizontal="left" vertical="center" wrapText="1"/>
    </xf>
    <xf numFmtId="0" fontId="8" fillId="0" borderId="1" xfId="0" applyFont="1" applyBorder="1" applyAlignment="1">
      <alignment horizontal="center" vertical="center" wrapText="1"/>
    </xf>
    <xf numFmtId="164" fontId="4" fillId="0" borderId="1" xfId="0" applyNumberFormat="1" applyFont="1" applyBorder="1" applyAlignment="1">
      <alignment horizontal="right" vertical="center"/>
    </xf>
    <xf numFmtId="2" fontId="4" fillId="0" borderId="1" xfId="0" applyNumberFormat="1" applyFont="1" applyBorder="1" applyAlignment="1">
      <alignment horizontal="right" vertical="center"/>
    </xf>
    <xf numFmtId="0" fontId="19" fillId="0" borderId="4" xfId="0" applyFont="1" applyBorder="1" applyAlignment="1">
      <alignment horizontal="left" vertical="center" wrapText="1"/>
    </xf>
    <xf numFmtId="0" fontId="11" fillId="0" borderId="29"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7"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20" xfId="1" applyFont="1" applyFill="1" applyBorder="1" applyAlignment="1">
      <alignment horizontal="center" vertical="center"/>
    </xf>
    <xf numFmtId="0" fontId="9" fillId="0" borderId="28" xfId="0" applyFont="1" applyBorder="1" applyAlignment="1">
      <alignment horizontal="center"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2" fontId="4" fillId="6" borderId="1" xfId="0" applyNumberFormat="1" applyFont="1" applyFill="1" applyBorder="1" applyAlignment="1">
      <alignment horizontal="right" vertical="center"/>
    </xf>
    <xf numFmtId="164" fontId="4" fillId="6" borderId="1" xfId="0" applyNumberFormat="1" applyFont="1" applyFill="1" applyBorder="1" applyAlignment="1">
      <alignment horizontal="right"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11" fillId="6" borderId="14" xfId="1" applyFont="1" applyFill="1" applyBorder="1" applyAlignment="1">
      <alignment horizontal="center" vertical="center"/>
    </xf>
    <xf numFmtId="0" fontId="11" fillId="6" borderId="24" xfId="1" applyFont="1" applyFill="1" applyBorder="1" applyAlignment="1">
      <alignment horizontal="center" vertical="center"/>
    </xf>
  </cellXfs>
  <cellStyles count="6">
    <cellStyle name="Normal" xfId="0" builtinId="0"/>
    <cellStyle name="Normal 2" xfId="1"/>
    <cellStyle name="Normal 3" xfId="2"/>
    <cellStyle name="Normal 4" xfId="3"/>
    <cellStyle name="Standard 2" xfId="4"/>
    <cellStyle name="Standard 2 2" xf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504825</xdr:colOff>
      <xdr:row>12</xdr:row>
      <xdr:rowOff>85725</xdr:rowOff>
    </xdr:from>
    <xdr:to>
      <xdr:col>3</xdr:col>
      <xdr:colOff>9525</xdr:colOff>
      <xdr:row>28</xdr:row>
      <xdr:rowOff>104775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2943225"/>
          <a:ext cx="306705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38</xdr:row>
      <xdr:rowOff>123825</xdr:rowOff>
    </xdr:from>
    <xdr:to>
      <xdr:col>3</xdr:col>
      <xdr:colOff>390525</xdr:colOff>
      <xdr:row>48</xdr:row>
      <xdr:rowOff>76200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8696325"/>
          <a:ext cx="6467475"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171450</xdr:colOff>
      <xdr:row>4</xdr:row>
      <xdr:rowOff>95250</xdr:rowOff>
    </xdr:from>
    <xdr:to>
      <xdr:col>10</xdr:col>
      <xdr:colOff>3238500</xdr:colOff>
      <xdr:row>20</xdr:row>
      <xdr:rowOff>114300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857250"/>
          <a:ext cx="306705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68"/>
  <sheetViews>
    <sheetView tabSelected="1" zoomScaleNormal="100" workbookViewId="0">
      <selection sqref="A1:K1"/>
    </sheetView>
  </sheetViews>
  <sheetFormatPr defaultColWidth="9.140625" defaultRowHeight="15" x14ac:dyDescent="0.25"/>
  <cols>
    <col min="1" max="11" width="17.28515625" style="8" customWidth="1"/>
    <col min="12" max="12" width="5.7109375" style="43" customWidth="1"/>
    <col min="13" max="16" width="9.140625" style="43"/>
    <col min="17" max="201" width="9.140625" style="12"/>
    <col min="202" max="16384" width="9.140625" style="8"/>
  </cols>
  <sheetData>
    <row r="1" spans="1:16" ht="15" customHeight="1" x14ac:dyDescent="0.25">
      <c r="A1" s="85" t="s">
        <v>126</v>
      </c>
      <c r="B1" s="86"/>
      <c r="C1" s="86"/>
      <c r="D1" s="86"/>
      <c r="E1" s="86"/>
      <c r="F1" s="86"/>
      <c r="G1" s="86"/>
      <c r="H1" s="86"/>
      <c r="I1" s="86"/>
      <c r="J1" s="86"/>
      <c r="K1" s="86"/>
    </row>
    <row r="2" spans="1:16" ht="15" customHeight="1" x14ac:dyDescent="0.25">
      <c r="A2" s="87" t="s">
        <v>10</v>
      </c>
      <c r="B2" s="88"/>
      <c r="C2" s="88"/>
      <c r="D2" s="88"/>
      <c r="E2" s="88"/>
      <c r="F2" s="88"/>
      <c r="G2" s="88"/>
      <c r="H2" s="88"/>
      <c r="I2" s="88"/>
      <c r="J2" s="88"/>
      <c r="K2" s="88"/>
    </row>
    <row r="3" spans="1:16" ht="30" customHeight="1" x14ac:dyDescent="0.25">
      <c r="A3" s="89" t="s">
        <v>114</v>
      </c>
      <c r="B3" s="90"/>
      <c r="C3" s="90"/>
      <c r="D3" s="90"/>
      <c r="E3" s="90"/>
      <c r="F3" s="90"/>
      <c r="G3" s="90"/>
      <c r="H3" s="90"/>
      <c r="I3" s="90"/>
      <c r="J3" s="90"/>
      <c r="K3" s="90"/>
    </row>
    <row r="4" spans="1:16" ht="105" customHeight="1" x14ac:dyDescent="0.25">
      <c r="A4" s="91" t="s">
        <v>127</v>
      </c>
      <c r="B4" s="92"/>
      <c r="C4" s="92"/>
      <c r="D4" s="92"/>
      <c r="E4" s="92"/>
      <c r="F4" s="92"/>
      <c r="G4" s="92"/>
      <c r="H4" s="92"/>
      <c r="I4" s="92"/>
      <c r="J4" s="92"/>
      <c r="K4" s="93"/>
    </row>
    <row r="5" spans="1:16" ht="210" customHeight="1" x14ac:dyDescent="0.25">
      <c r="A5" s="85" t="s">
        <v>128</v>
      </c>
      <c r="B5" s="85"/>
      <c r="C5" s="85"/>
      <c r="D5" s="85"/>
      <c r="E5" s="85"/>
      <c r="F5" s="85"/>
      <c r="G5" s="85"/>
      <c r="H5" s="85"/>
      <c r="I5" s="85"/>
      <c r="J5" s="85"/>
      <c r="K5" s="85"/>
    </row>
    <row r="6" spans="1:16" s="12" customFormat="1" x14ac:dyDescent="0.25">
      <c r="A6" s="82" t="s">
        <v>121</v>
      </c>
      <c r="B6" s="83"/>
      <c r="C6" s="83"/>
      <c r="D6" s="83"/>
      <c r="E6" s="83"/>
      <c r="F6" s="83"/>
      <c r="G6" s="83"/>
      <c r="H6" s="83"/>
      <c r="I6" s="83"/>
      <c r="J6" s="83"/>
      <c r="K6" s="84"/>
      <c r="L6" s="43"/>
      <c r="M6" s="43"/>
      <c r="N6" s="43"/>
      <c r="O6" s="43"/>
      <c r="P6" s="43"/>
    </row>
    <row r="7" spans="1:16" s="12" customFormat="1" x14ac:dyDescent="0.25">
      <c r="L7" s="43"/>
      <c r="M7" s="43"/>
      <c r="N7" s="43"/>
      <c r="O7" s="43"/>
      <c r="P7" s="43"/>
    </row>
    <row r="8" spans="1:16" s="12" customFormat="1" x14ac:dyDescent="0.25">
      <c r="L8" s="43"/>
      <c r="M8" s="43"/>
      <c r="N8" s="43"/>
      <c r="O8" s="43"/>
      <c r="P8" s="43"/>
    </row>
    <row r="9" spans="1:16" s="12" customFormat="1" x14ac:dyDescent="0.25">
      <c r="L9" s="43"/>
      <c r="M9" s="43"/>
      <c r="N9" s="43"/>
      <c r="O9" s="43"/>
      <c r="P9" s="43"/>
    </row>
    <row r="10" spans="1:16" s="12" customFormat="1" x14ac:dyDescent="0.25">
      <c r="L10" s="43"/>
      <c r="M10" s="43"/>
      <c r="N10" s="43"/>
      <c r="O10" s="43"/>
      <c r="P10" s="43"/>
    </row>
    <row r="11" spans="1:16" s="12" customFormat="1" x14ac:dyDescent="0.25">
      <c r="L11" s="43"/>
      <c r="M11" s="43"/>
      <c r="N11" s="43"/>
      <c r="O11" s="43"/>
      <c r="P11" s="43"/>
    </row>
    <row r="12" spans="1:16" s="12" customFormat="1" x14ac:dyDescent="0.25">
      <c r="L12" s="43"/>
      <c r="M12" s="43"/>
      <c r="N12" s="43"/>
      <c r="O12" s="43"/>
      <c r="P12" s="43"/>
    </row>
    <row r="13" spans="1:16" s="12" customFormat="1" x14ac:dyDescent="0.25">
      <c r="L13" s="43"/>
      <c r="M13" s="43"/>
      <c r="N13" s="43"/>
      <c r="O13" s="43"/>
      <c r="P13" s="43"/>
    </row>
    <row r="14" spans="1:16" s="12" customFormat="1" x14ac:dyDescent="0.25">
      <c r="L14" s="43"/>
      <c r="M14" s="43"/>
      <c r="N14" s="43"/>
      <c r="O14" s="43"/>
      <c r="P14" s="43"/>
    </row>
    <row r="15" spans="1:16" s="12" customFormat="1" x14ac:dyDescent="0.25">
      <c r="L15" s="43"/>
      <c r="M15" s="43"/>
      <c r="N15" s="43"/>
      <c r="O15" s="43"/>
      <c r="P15" s="43"/>
    </row>
    <row r="16" spans="1:16" s="12" customFormat="1" x14ac:dyDescent="0.25">
      <c r="L16" s="43"/>
      <c r="M16" s="43"/>
      <c r="N16" s="43"/>
      <c r="O16" s="43"/>
      <c r="P16" s="43"/>
    </row>
    <row r="17" spans="12:16" s="12" customFormat="1" x14ac:dyDescent="0.25">
      <c r="L17" s="43"/>
      <c r="M17" s="43"/>
      <c r="N17" s="43"/>
      <c r="O17" s="43"/>
      <c r="P17" s="43"/>
    </row>
    <row r="18" spans="12:16" s="12" customFormat="1" x14ac:dyDescent="0.25">
      <c r="L18" s="43"/>
      <c r="M18" s="43"/>
      <c r="N18" s="43"/>
      <c r="O18" s="43"/>
      <c r="P18" s="43"/>
    </row>
    <row r="19" spans="12:16" s="12" customFormat="1" x14ac:dyDescent="0.25">
      <c r="L19" s="43"/>
      <c r="M19" s="43"/>
      <c r="N19" s="43"/>
      <c r="O19" s="43"/>
      <c r="P19" s="43"/>
    </row>
    <row r="20" spans="12:16" s="12" customFormat="1" x14ac:dyDescent="0.25">
      <c r="L20" s="43"/>
      <c r="M20" s="43"/>
      <c r="N20" s="43"/>
      <c r="O20" s="43"/>
      <c r="P20" s="43"/>
    </row>
    <row r="21" spans="12:16" s="12" customFormat="1" x14ac:dyDescent="0.25">
      <c r="L21" s="43"/>
      <c r="M21" s="43"/>
      <c r="N21" s="43"/>
      <c r="O21" s="43"/>
      <c r="P21" s="43"/>
    </row>
    <row r="22" spans="12:16" s="12" customFormat="1" x14ac:dyDescent="0.25">
      <c r="L22" s="43"/>
      <c r="M22" s="43"/>
      <c r="N22" s="43"/>
      <c r="O22" s="43"/>
      <c r="P22" s="43"/>
    </row>
    <row r="23" spans="12:16" s="12" customFormat="1" x14ac:dyDescent="0.25">
      <c r="L23" s="43"/>
      <c r="M23" s="43"/>
      <c r="N23" s="43"/>
      <c r="O23" s="43"/>
      <c r="P23" s="43"/>
    </row>
    <row r="24" spans="12:16" s="12" customFormat="1" x14ac:dyDescent="0.25">
      <c r="L24" s="43"/>
      <c r="M24" s="43"/>
      <c r="N24" s="43"/>
      <c r="O24" s="43"/>
      <c r="P24" s="43"/>
    </row>
    <row r="25" spans="12:16" s="12" customFormat="1" x14ac:dyDescent="0.25">
      <c r="L25" s="43"/>
      <c r="M25" s="43"/>
      <c r="N25" s="43"/>
      <c r="O25" s="43"/>
      <c r="P25" s="43"/>
    </row>
    <row r="26" spans="12:16" s="12" customFormat="1" x14ac:dyDescent="0.25">
      <c r="L26" s="43"/>
      <c r="M26" s="43"/>
      <c r="N26" s="43"/>
      <c r="O26" s="43"/>
      <c r="P26" s="43"/>
    </row>
    <row r="27" spans="12:16" s="12" customFormat="1" x14ac:dyDescent="0.25">
      <c r="L27" s="43"/>
      <c r="M27" s="43"/>
      <c r="N27" s="43"/>
      <c r="O27" s="43"/>
      <c r="P27" s="43"/>
    </row>
    <row r="28" spans="12:16" s="12" customFormat="1" x14ac:dyDescent="0.25">
      <c r="L28" s="43"/>
      <c r="M28" s="43"/>
      <c r="N28" s="43"/>
      <c r="O28" s="43"/>
      <c r="P28" s="43"/>
    </row>
    <row r="29" spans="12:16" s="12" customFormat="1" x14ac:dyDescent="0.25">
      <c r="L29" s="43"/>
      <c r="M29" s="43"/>
      <c r="N29" s="43"/>
      <c r="O29" s="43"/>
      <c r="P29" s="43"/>
    </row>
    <row r="30" spans="12:16" s="12" customFormat="1" x14ac:dyDescent="0.25">
      <c r="L30" s="43"/>
      <c r="M30" s="43"/>
      <c r="N30" s="43"/>
      <c r="O30" s="43"/>
      <c r="P30" s="43"/>
    </row>
    <row r="31" spans="12:16" s="12" customFormat="1" x14ac:dyDescent="0.25">
      <c r="L31" s="43"/>
      <c r="M31" s="43"/>
      <c r="N31" s="43"/>
      <c r="O31" s="43"/>
      <c r="P31" s="43"/>
    </row>
    <row r="32" spans="12:16" s="12" customFormat="1" x14ac:dyDescent="0.25">
      <c r="L32" s="43"/>
      <c r="M32" s="43"/>
      <c r="N32" s="43"/>
      <c r="O32" s="43"/>
      <c r="P32" s="43"/>
    </row>
    <row r="33" spans="12:16" s="12" customFormat="1" x14ac:dyDescent="0.25">
      <c r="L33" s="43"/>
      <c r="M33" s="43"/>
      <c r="N33" s="43"/>
      <c r="O33" s="43"/>
      <c r="P33" s="43"/>
    </row>
    <row r="34" spans="12:16" s="12" customFormat="1" x14ac:dyDescent="0.25">
      <c r="L34" s="43"/>
      <c r="M34" s="43"/>
      <c r="N34" s="43"/>
      <c r="O34" s="43"/>
      <c r="P34" s="43"/>
    </row>
    <row r="35" spans="12:16" s="12" customFormat="1" x14ac:dyDescent="0.25">
      <c r="L35" s="43"/>
      <c r="M35" s="43"/>
      <c r="N35" s="43"/>
      <c r="O35" s="43"/>
      <c r="P35" s="43"/>
    </row>
    <row r="36" spans="12:16" s="12" customFormat="1" x14ac:dyDescent="0.25">
      <c r="L36" s="43"/>
      <c r="M36" s="43"/>
      <c r="N36" s="43"/>
      <c r="O36" s="43"/>
      <c r="P36" s="43"/>
    </row>
    <row r="37" spans="12:16" s="12" customFormat="1" x14ac:dyDescent="0.25">
      <c r="L37" s="43"/>
      <c r="M37" s="43"/>
      <c r="N37" s="43"/>
      <c r="O37" s="43"/>
      <c r="P37" s="43"/>
    </row>
    <row r="38" spans="12:16" s="12" customFormat="1" x14ac:dyDescent="0.25">
      <c r="L38" s="43"/>
      <c r="M38" s="43"/>
      <c r="N38" s="43"/>
      <c r="O38" s="43"/>
      <c r="P38" s="43"/>
    </row>
    <row r="39" spans="12:16" s="12" customFormat="1" x14ac:dyDescent="0.25">
      <c r="L39" s="43"/>
      <c r="M39" s="43"/>
      <c r="N39" s="43"/>
      <c r="O39" s="43"/>
      <c r="P39" s="43"/>
    </row>
    <row r="40" spans="12:16" s="12" customFormat="1" x14ac:dyDescent="0.25">
      <c r="L40" s="43"/>
      <c r="M40" s="43"/>
      <c r="N40" s="43"/>
      <c r="O40" s="43"/>
      <c r="P40" s="43"/>
    </row>
    <row r="41" spans="12:16" s="12" customFormat="1" x14ac:dyDescent="0.25">
      <c r="L41" s="43"/>
      <c r="M41" s="43"/>
      <c r="N41" s="43"/>
      <c r="O41" s="43"/>
      <c r="P41" s="43"/>
    </row>
    <row r="42" spans="12:16" s="12" customFormat="1" x14ac:dyDescent="0.25">
      <c r="L42" s="43"/>
      <c r="M42" s="43"/>
      <c r="N42" s="43"/>
      <c r="O42" s="43"/>
      <c r="P42" s="43"/>
    </row>
    <row r="43" spans="12:16" s="12" customFormat="1" x14ac:dyDescent="0.25">
      <c r="L43" s="43"/>
      <c r="M43" s="43"/>
      <c r="N43" s="43"/>
      <c r="O43" s="43"/>
      <c r="P43" s="43"/>
    </row>
    <row r="44" spans="12:16" s="12" customFormat="1" x14ac:dyDescent="0.25">
      <c r="L44" s="43"/>
      <c r="M44" s="43"/>
      <c r="N44" s="43"/>
      <c r="O44" s="43"/>
      <c r="P44" s="43"/>
    </row>
    <row r="45" spans="12:16" s="12" customFormat="1" x14ac:dyDescent="0.25">
      <c r="L45" s="43"/>
      <c r="M45" s="43"/>
      <c r="N45" s="43"/>
      <c r="O45" s="43"/>
      <c r="P45" s="43"/>
    </row>
    <row r="46" spans="12:16" s="12" customFormat="1" x14ac:dyDescent="0.25">
      <c r="L46" s="43"/>
      <c r="M46" s="43"/>
      <c r="N46" s="43"/>
      <c r="O46" s="43"/>
      <c r="P46" s="43"/>
    </row>
    <row r="47" spans="12:16" s="12" customFormat="1" x14ac:dyDescent="0.25">
      <c r="L47" s="43"/>
      <c r="M47" s="43"/>
      <c r="N47" s="43"/>
      <c r="O47" s="43"/>
      <c r="P47" s="43"/>
    </row>
    <row r="48" spans="12:16" s="12" customFormat="1" x14ac:dyDescent="0.25">
      <c r="L48" s="43"/>
      <c r="M48" s="43"/>
      <c r="N48" s="43"/>
      <c r="O48" s="43"/>
      <c r="P48" s="43"/>
    </row>
    <row r="49" spans="12:16" s="12" customFormat="1" x14ac:dyDescent="0.25">
      <c r="L49" s="43"/>
      <c r="M49" s="43"/>
      <c r="N49" s="43"/>
      <c r="O49" s="43"/>
      <c r="P49" s="43"/>
    </row>
    <row r="50" spans="12:16" s="12" customFormat="1" x14ac:dyDescent="0.25">
      <c r="L50" s="43"/>
      <c r="M50" s="43"/>
      <c r="N50" s="43"/>
      <c r="O50" s="43"/>
      <c r="P50" s="43"/>
    </row>
    <row r="51" spans="12:16" s="12" customFormat="1" x14ac:dyDescent="0.25">
      <c r="L51" s="43"/>
      <c r="M51" s="43"/>
      <c r="N51" s="43"/>
      <c r="O51" s="43"/>
      <c r="P51" s="43"/>
    </row>
    <row r="52" spans="12:16" s="12" customFormat="1" x14ac:dyDescent="0.25">
      <c r="L52" s="43"/>
      <c r="M52" s="43"/>
      <c r="N52" s="43"/>
      <c r="O52" s="43"/>
      <c r="P52" s="43"/>
    </row>
    <row r="53" spans="12:16" s="12" customFormat="1" x14ac:dyDescent="0.25">
      <c r="L53" s="43"/>
      <c r="M53" s="43"/>
      <c r="N53" s="43"/>
      <c r="O53" s="43"/>
      <c r="P53" s="43"/>
    </row>
    <row r="54" spans="12:16" s="12" customFormat="1" x14ac:dyDescent="0.25">
      <c r="L54" s="43"/>
      <c r="M54" s="43"/>
      <c r="N54" s="43"/>
      <c r="O54" s="43"/>
      <c r="P54" s="43"/>
    </row>
    <row r="55" spans="12:16" s="12" customFormat="1" x14ac:dyDescent="0.25">
      <c r="L55" s="43"/>
      <c r="M55" s="43"/>
      <c r="N55" s="43"/>
      <c r="O55" s="43"/>
      <c r="P55" s="43"/>
    </row>
    <row r="56" spans="12:16" s="12" customFormat="1" x14ac:dyDescent="0.25">
      <c r="L56" s="43"/>
      <c r="M56" s="43"/>
      <c r="N56" s="43"/>
      <c r="O56" s="43"/>
      <c r="P56" s="43"/>
    </row>
    <row r="57" spans="12:16" s="12" customFormat="1" x14ac:dyDescent="0.25">
      <c r="L57" s="43"/>
      <c r="M57" s="43"/>
      <c r="N57" s="43"/>
      <c r="O57" s="43"/>
      <c r="P57" s="43"/>
    </row>
    <row r="58" spans="12:16" s="12" customFormat="1" x14ac:dyDescent="0.25">
      <c r="L58" s="43"/>
      <c r="M58" s="43"/>
      <c r="N58" s="43"/>
      <c r="O58" s="43"/>
      <c r="P58" s="43"/>
    </row>
    <row r="59" spans="12:16" s="12" customFormat="1" x14ac:dyDescent="0.25">
      <c r="L59" s="43"/>
      <c r="M59" s="43"/>
      <c r="N59" s="43"/>
      <c r="O59" s="43"/>
      <c r="P59" s="43"/>
    </row>
    <row r="60" spans="12:16" s="12" customFormat="1" x14ac:dyDescent="0.25">
      <c r="L60" s="43"/>
      <c r="M60" s="43"/>
      <c r="N60" s="43"/>
      <c r="O60" s="43"/>
      <c r="P60" s="43"/>
    </row>
    <row r="61" spans="12:16" s="12" customFormat="1" x14ac:dyDescent="0.25">
      <c r="L61" s="43"/>
      <c r="M61" s="43"/>
      <c r="N61" s="43"/>
      <c r="O61" s="43"/>
      <c r="P61" s="43"/>
    </row>
    <row r="62" spans="12:16" s="12" customFormat="1" x14ac:dyDescent="0.25">
      <c r="L62" s="43"/>
      <c r="M62" s="43"/>
      <c r="N62" s="43"/>
      <c r="O62" s="43"/>
      <c r="P62" s="43"/>
    </row>
    <row r="63" spans="12:16" s="12" customFormat="1" x14ac:dyDescent="0.25">
      <c r="L63" s="43"/>
      <c r="M63" s="43"/>
      <c r="N63" s="43"/>
      <c r="O63" s="43"/>
      <c r="P63" s="43"/>
    </row>
    <row r="64" spans="12:16" s="12" customFormat="1" x14ac:dyDescent="0.25">
      <c r="L64" s="43"/>
      <c r="M64" s="43"/>
      <c r="N64" s="43"/>
      <c r="O64" s="43"/>
      <c r="P64" s="43"/>
    </row>
    <row r="65" spans="12:16" s="12" customFormat="1" x14ac:dyDescent="0.25">
      <c r="L65" s="43"/>
      <c r="M65" s="43"/>
      <c r="N65" s="43"/>
      <c r="O65" s="43"/>
      <c r="P65" s="43"/>
    </row>
    <row r="66" spans="12:16" s="12" customFormat="1" x14ac:dyDescent="0.25">
      <c r="L66" s="43"/>
      <c r="M66" s="43"/>
      <c r="N66" s="43"/>
      <c r="O66" s="43"/>
      <c r="P66" s="43"/>
    </row>
    <row r="67" spans="12:16" s="12" customFormat="1" x14ac:dyDescent="0.25">
      <c r="L67" s="43"/>
      <c r="M67" s="43"/>
      <c r="N67" s="43"/>
      <c r="O67" s="43"/>
      <c r="P67" s="43"/>
    </row>
    <row r="68" spans="12:16" s="12" customFormat="1" x14ac:dyDescent="0.25">
      <c r="L68" s="43"/>
      <c r="M68" s="43"/>
      <c r="N68" s="43"/>
      <c r="O68" s="43"/>
      <c r="P68" s="43"/>
    </row>
  </sheetData>
  <mergeCells count="6">
    <mergeCell ref="A6:K6"/>
    <mergeCell ref="A5:K5"/>
    <mergeCell ref="A1:K1"/>
    <mergeCell ref="A2:K2"/>
    <mergeCell ref="A3:K3"/>
    <mergeCell ref="A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election activeCell="E7" sqref="E7"/>
    </sheetView>
  </sheetViews>
  <sheetFormatPr defaultColWidth="11.42578125" defaultRowHeight="15" customHeight="1" x14ac:dyDescent="0.25"/>
  <cols>
    <col min="1" max="1" width="38.85546875" style="31" bestFit="1" customWidth="1"/>
    <col min="2" max="2" width="22.7109375" style="31" bestFit="1" customWidth="1"/>
    <col min="3" max="3" width="30.7109375" style="31" customWidth="1"/>
    <col min="4" max="6" width="15.7109375" style="31" customWidth="1"/>
    <col min="7" max="16384" width="11.42578125" style="31"/>
  </cols>
  <sheetData>
    <row r="1" spans="1:16" ht="15" customHeight="1" x14ac:dyDescent="0.25">
      <c r="A1" s="103" t="s">
        <v>94</v>
      </c>
      <c r="B1" s="104"/>
      <c r="C1" s="104"/>
      <c r="D1" s="104"/>
      <c r="E1" s="104"/>
      <c r="F1" s="105"/>
    </row>
    <row r="2" spans="1:16" ht="15" customHeight="1" x14ac:dyDescent="0.25">
      <c r="A2" s="106" t="s">
        <v>115</v>
      </c>
      <c r="B2" s="107"/>
      <c r="C2" s="107"/>
      <c r="D2" s="107"/>
      <c r="E2" s="107"/>
      <c r="F2" s="108"/>
    </row>
    <row r="3" spans="1:16" ht="15" customHeight="1" x14ac:dyDescent="0.25">
      <c r="A3" s="109" t="s">
        <v>113</v>
      </c>
      <c r="B3" s="110"/>
      <c r="C3" s="110"/>
      <c r="D3" s="110"/>
      <c r="E3" s="110"/>
      <c r="F3" s="111"/>
    </row>
    <row r="5" spans="1:16" ht="45" customHeight="1" thickBot="1" x14ac:dyDescent="0.3">
      <c r="A5" s="112" t="s">
        <v>119</v>
      </c>
      <c r="B5" s="113"/>
      <c r="C5" s="101"/>
      <c r="D5" s="101"/>
      <c r="E5" s="101"/>
      <c r="F5" s="102"/>
    </row>
    <row r="6" spans="1:16" ht="15" customHeight="1" thickBot="1" x14ac:dyDescent="0.3">
      <c r="A6" s="59" t="s">
        <v>1</v>
      </c>
      <c r="B6" s="81" t="s">
        <v>71</v>
      </c>
      <c r="C6" s="60" t="s">
        <v>125</v>
      </c>
      <c r="E6" s="32" t="s">
        <v>28</v>
      </c>
    </row>
    <row r="7" spans="1:16" ht="15" customHeight="1" x14ac:dyDescent="0.25">
      <c r="A7" s="33" t="s">
        <v>2</v>
      </c>
      <c r="B7" s="34" t="str">
        <f>IF(ISNUMBER(E7),17.16*(E7+1),"enter number in yellow box")</f>
        <v>enter number in yellow box</v>
      </c>
      <c r="C7" s="34" t="s">
        <v>122</v>
      </c>
      <c r="E7" s="80" t="s">
        <v>76</v>
      </c>
    </row>
    <row r="8" spans="1:16" ht="15" customHeight="1" x14ac:dyDescent="0.25">
      <c r="A8" s="28" t="s">
        <v>95</v>
      </c>
      <c r="B8" s="27" t="str">
        <f>IF(ISNUMBER(E7),33*(E7+1),"enter number in yellow box")</f>
        <v>enter number in yellow box</v>
      </c>
      <c r="C8" s="27" t="s">
        <v>122</v>
      </c>
      <c r="D8" s="29"/>
      <c r="E8" s="29"/>
    </row>
    <row r="9" spans="1:16" ht="15" customHeight="1" x14ac:dyDescent="0.25">
      <c r="A9" s="33" t="s">
        <v>25</v>
      </c>
      <c r="B9" s="34" t="str">
        <f>IF(ISNUMBER(E7),2.64*(E7+1),"enter number in yellow box")</f>
        <v>enter number in yellow box</v>
      </c>
      <c r="C9" s="34" t="s">
        <v>123</v>
      </c>
      <c r="D9" s="29"/>
      <c r="E9" s="29"/>
    </row>
    <row r="10" spans="1:16" ht="15" customHeight="1" thickBot="1" x14ac:dyDescent="0.3">
      <c r="A10" s="35" t="s">
        <v>24</v>
      </c>
      <c r="B10" s="36" t="str">
        <f>IF(ISNUMBER(E7),52.8*(E7+1),"enter number in yellow box")</f>
        <v>enter number in yellow box</v>
      </c>
      <c r="C10" s="36" t="s">
        <v>124</v>
      </c>
      <c r="D10" s="29"/>
      <c r="E10" s="29"/>
    </row>
    <row r="11" spans="1:16" ht="15" customHeight="1" x14ac:dyDescent="0.25">
      <c r="D11" s="29"/>
      <c r="E11" s="29"/>
    </row>
    <row r="12" spans="1:16" ht="30" customHeight="1" x14ac:dyDescent="0.25">
      <c r="A12" s="97" t="s">
        <v>116</v>
      </c>
      <c r="B12" s="98"/>
      <c r="C12" s="98"/>
      <c r="D12" s="98"/>
      <c r="E12" s="98"/>
      <c r="F12" s="99"/>
    </row>
    <row r="13" spans="1:16" ht="15" customHeight="1" x14ac:dyDescent="0.25">
      <c r="A13" s="37"/>
      <c r="B13" s="37"/>
      <c r="C13" s="37"/>
      <c r="D13" s="37"/>
      <c r="E13" s="29"/>
      <c r="F13" s="29"/>
    </row>
    <row r="14" spans="1:16" ht="15" customHeight="1" x14ac:dyDescent="0.25">
      <c r="A14" s="37"/>
      <c r="B14" s="37"/>
      <c r="C14" s="37"/>
      <c r="D14" s="37"/>
      <c r="E14" s="29"/>
      <c r="F14" s="29"/>
      <c r="G14" s="29"/>
      <c r="H14" s="29"/>
      <c r="I14" s="29"/>
      <c r="J14" s="29"/>
      <c r="K14" s="29"/>
      <c r="L14" s="29"/>
      <c r="M14" s="29"/>
      <c r="N14" s="29"/>
      <c r="O14" s="29"/>
      <c r="P14" s="29"/>
    </row>
    <row r="15" spans="1:16" ht="15" customHeight="1" x14ac:dyDescent="0.25">
      <c r="A15" s="37"/>
      <c r="B15" s="37"/>
      <c r="C15" s="37"/>
      <c r="D15" s="37"/>
      <c r="E15" s="29"/>
      <c r="F15" s="29"/>
      <c r="G15" s="29"/>
      <c r="H15" s="29"/>
      <c r="I15" s="29"/>
      <c r="J15" s="29"/>
      <c r="K15" s="29"/>
      <c r="L15" s="29"/>
      <c r="M15" s="29"/>
      <c r="N15" s="29"/>
      <c r="O15" s="29"/>
      <c r="P15" s="29"/>
    </row>
    <row r="16" spans="1:16" ht="15" customHeight="1" x14ac:dyDescent="0.25">
      <c r="A16" s="37"/>
      <c r="B16" s="37"/>
      <c r="C16" s="37"/>
      <c r="D16" s="37"/>
      <c r="E16" s="29"/>
      <c r="F16" s="29"/>
      <c r="G16" s="29"/>
      <c r="H16" s="29"/>
      <c r="I16" s="29"/>
      <c r="J16" s="29"/>
      <c r="K16" s="29"/>
      <c r="L16" s="29"/>
      <c r="M16" s="29"/>
      <c r="N16" s="29"/>
      <c r="O16" s="29"/>
      <c r="P16" s="29"/>
    </row>
    <row r="17" spans="1:16" ht="15" customHeight="1" x14ac:dyDescent="0.25">
      <c r="A17" s="37"/>
      <c r="B17" s="37"/>
      <c r="C17" s="37"/>
      <c r="D17" s="37"/>
      <c r="E17" s="29"/>
      <c r="F17" s="29"/>
      <c r="G17" s="29"/>
      <c r="H17" s="29"/>
      <c r="I17" s="29"/>
      <c r="J17" s="29"/>
      <c r="K17" s="29"/>
      <c r="L17" s="29"/>
      <c r="M17" s="29"/>
      <c r="N17" s="29"/>
      <c r="O17" s="29"/>
      <c r="P17" s="29"/>
    </row>
    <row r="18" spans="1:16" ht="15" customHeight="1" x14ac:dyDescent="0.25">
      <c r="A18" s="37"/>
      <c r="B18" s="37"/>
      <c r="C18" s="37"/>
      <c r="D18" s="37"/>
      <c r="E18" s="29"/>
      <c r="F18" s="29"/>
      <c r="G18" s="29"/>
      <c r="H18" s="29"/>
      <c r="I18" s="29"/>
      <c r="J18" s="29"/>
      <c r="K18" s="29"/>
      <c r="L18" s="29"/>
      <c r="M18" s="29"/>
      <c r="N18" s="29"/>
      <c r="O18" s="29"/>
      <c r="P18" s="29"/>
    </row>
    <row r="19" spans="1:16" ht="15" customHeight="1" x14ac:dyDescent="0.25">
      <c r="A19" s="37"/>
      <c r="B19" s="37"/>
      <c r="C19" s="37"/>
      <c r="D19" s="37"/>
      <c r="E19" s="29"/>
      <c r="F19" s="29"/>
      <c r="G19" s="29"/>
      <c r="H19" s="29"/>
      <c r="I19" s="29"/>
      <c r="J19" s="29"/>
      <c r="K19" s="29"/>
      <c r="L19" s="29"/>
      <c r="M19" s="29"/>
      <c r="N19" s="29"/>
      <c r="O19" s="29"/>
      <c r="P19" s="29"/>
    </row>
    <row r="20" spans="1:16" ht="15" customHeight="1" x14ac:dyDescent="0.25">
      <c r="A20" s="37"/>
      <c r="B20" s="37"/>
      <c r="C20" s="37"/>
      <c r="D20" s="37"/>
      <c r="E20" s="29"/>
      <c r="F20" s="29"/>
      <c r="G20" s="29"/>
      <c r="H20" s="29"/>
      <c r="I20" s="29"/>
      <c r="J20" s="29"/>
      <c r="K20" s="29"/>
      <c r="L20" s="29"/>
      <c r="M20" s="29"/>
      <c r="N20" s="29"/>
      <c r="O20" s="29"/>
      <c r="P20" s="29"/>
    </row>
    <row r="21" spans="1:16" ht="15" customHeight="1" x14ac:dyDescent="0.25">
      <c r="A21" s="37"/>
      <c r="B21" s="37"/>
      <c r="C21" s="37"/>
      <c r="D21" s="37"/>
      <c r="E21" s="29"/>
      <c r="F21" s="29"/>
      <c r="G21" s="29"/>
      <c r="H21" s="29"/>
      <c r="I21" s="29"/>
      <c r="J21" s="29"/>
      <c r="K21" s="29"/>
      <c r="L21" s="29"/>
      <c r="M21" s="29"/>
      <c r="N21" s="29"/>
      <c r="O21" s="29"/>
      <c r="P21" s="29"/>
    </row>
    <row r="22" spans="1:16" ht="15" customHeight="1" x14ac:dyDescent="0.25">
      <c r="A22" s="37"/>
      <c r="B22" s="37"/>
      <c r="C22" s="37"/>
      <c r="D22" s="37"/>
      <c r="E22" s="29"/>
      <c r="F22" s="29"/>
      <c r="G22" s="29"/>
      <c r="H22" s="29"/>
      <c r="I22" s="29"/>
      <c r="J22" s="29"/>
      <c r="K22" s="29"/>
      <c r="L22" s="29"/>
      <c r="M22" s="29"/>
      <c r="N22" s="29"/>
      <c r="O22" s="29"/>
      <c r="P22" s="29"/>
    </row>
    <row r="23" spans="1:16" ht="15" customHeight="1" x14ac:dyDescent="0.25">
      <c r="A23" s="37"/>
      <c r="B23" s="37"/>
      <c r="C23" s="37"/>
      <c r="D23" s="37"/>
      <c r="E23" s="29"/>
      <c r="F23" s="29"/>
      <c r="G23" s="29"/>
      <c r="H23" s="29"/>
      <c r="I23" s="29"/>
      <c r="J23" s="29"/>
      <c r="K23" s="29"/>
      <c r="L23" s="29"/>
      <c r="M23" s="29"/>
      <c r="N23" s="29"/>
      <c r="O23" s="29"/>
      <c r="P23" s="29"/>
    </row>
    <row r="24" spans="1:16" ht="15" customHeight="1" x14ac:dyDescent="0.25">
      <c r="A24" s="37"/>
      <c r="B24" s="37"/>
      <c r="C24" s="37"/>
      <c r="D24" s="37"/>
      <c r="E24" s="29"/>
      <c r="F24" s="29"/>
      <c r="G24" s="29"/>
      <c r="H24" s="29"/>
      <c r="I24" s="29"/>
      <c r="J24" s="29"/>
      <c r="K24" s="29"/>
      <c r="L24" s="29"/>
      <c r="M24" s="29"/>
      <c r="N24" s="29"/>
      <c r="O24" s="29"/>
      <c r="P24" s="29"/>
    </row>
    <row r="25" spans="1:16" ht="15" customHeight="1" x14ac:dyDescent="0.25">
      <c r="A25" s="37"/>
      <c r="B25" s="37"/>
      <c r="C25" s="37"/>
      <c r="D25" s="37"/>
      <c r="E25" s="29"/>
      <c r="F25" s="29"/>
      <c r="G25" s="29"/>
      <c r="H25" s="29"/>
      <c r="I25" s="29"/>
      <c r="J25" s="29"/>
      <c r="K25" s="29"/>
      <c r="L25" s="29"/>
      <c r="M25" s="29"/>
      <c r="N25" s="29"/>
      <c r="O25" s="29"/>
      <c r="P25" s="29"/>
    </row>
    <row r="26" spans="1:16" ht="15" customHeight="1" x14ac:dyDescent="0.25">
      <c r="A26" s="37"/>
      <c r="B26" s="37"/>
      <c r="C26" s="37"/>
      <c r="D26" s="37"/>
      <c r="E26" s="29"/>
      <c r="F26" s="29"/>
      <c r="G26" s="29"/>
      <c r="H26" s="29"/>
      <c r="I26" s="29"/>
      <c r="J26" s="29"/>
      <c r="K26" s="29"/>
      <c r="L26" s="29"/>
      <c r="M26" s="29"/>
      <c r="N26" s="29"/>
      <c r="O26" s="29"/>
      <c r="P26" s="29"/>
    </row>
    <row r="27" spans="1:16" ht="15" customHeight="1" x14ac:dyDescent="0.25">
      <c r="A27" s="37"/>
      <c r="B27" s="37"/>
      <c r="C27" s="37"/>
      <c r="D27" s="37"/>
      <c r="E27" s="29"/>
      <c r="F27" s="29"/>
      <c r="G27" s="29"/>
      <c r="H27" s="29"/>
      <c r="I27" s="29"/>
      <c r="J27" s="29"/>
      <c r="K27" s="29"/>
      <c r="L27" s="29"/>
      <c r="M27" s="29"/>
      <c r="N27" s="29"/>
      <c r="O27" s="29"/>
      <c r="P27" s="29"/>
    </row>
    <row r="28" spans="1:16" ht="15" customHeight="1" x14ac:dyDescent="0.25">
      <c r="A28" s="37"/>
      <c r="B28" s="37"/>
      <c r="C28" s="37"/>
      <c r="D28" s="37"/>
      <c r="E28" s="29"/>
      <c r="F28" s="29"/>
      <c r="G28" s="29"/>
      <c r="H28" s="29"/>
      <c r="I28" s="29"/>
      <c r="J28" s="29"/>
      <c r="K28" s="29"/>
      <c r="L28" s="29"/>
      <c r="M28" s="29"/>
      <c r="N28" s="29"/>
      <c r="O28" s="29"/>
      <c r="P28" s="29"/>
    </row>
    <row r="29" spans="1:16" ht="15" customHeight="1" x14ac:dyDescent="0.25">
      <c r="A29" s="38"/>
      <c r="B29" s="38"/>
      <c r="C29" s="38"/>
      <c r="D29" s="38"/>
      <c r="E29" s="38"/>
      <c r="F29" s="38"/>
      <c r="G29" s="29"/>
      <c r="H29" s="29"/>
      <c r="I29" s="29"/>
      <c r="J29" s="29"/>
      <c r="K29" s="29"/>
      <c r="L29" s="29"/>
      <c r="M29" s="29"/>
      <c r="N29" s="29"/>
      <c r="O29" s="29"/>
      <c r="P29" s="29"/>
    </row>
    <row r="30" spans="1:16" ht="15" customHeight="1" thickBot="1" x14ac:dyDescent="0.3">
      <c r="A30" s="97" t="s">
        <v>117</v>
      </c>
      <c r="B30" s="98"/>
      <c r="C30" s="98"/>
      <c r="D30" s="98"/>
      <c r="E30" s="98"/>
      <c r="F30" s="99"/>
      <c r="G30" s="29"/>
      <c r="H30" s="29"/>
      <c r="I30" s="29"/>
      <c r="J30" s="29"/>
      <c r="K30" s="29"/>
      <c r="L30" s="29"/>
      <c r="M30" s="29"/>
      <c r="N30" s="29"/>
      <c r="O30" s="29"/>
      <c r="P30" s="29"/>
    </row>
    <row r="31" spans="1:16" ht="15" customHeight="1" thickBot="1" x14ac:dyDescent="0.3">
      <c r="A31" s="59" t="s">
        <v>1</v>
      </c>
      <c r="B31" s="60" t="s">
        <v>65</v>
      </c>
      <c r="F31" s="29"/>
    </row>
    <row r="32" spans="1:16" ht="15" customHeight="1" x14ac:dyDescent="0.25">
      <c r="A32" s="39" t="s">
        <v>8</v>
      </c>
      <c r="B32" s="61" t="s">
        <v>73</v>
      </c>
      <c r="C32" s="29"/>
      <c r="D32" s="29"/>
      <c r="E32" s="29"/>
      <c r="F32" s="29"/>
    </row>
    <row r="33" spans="1:6" ht="15" customHeight="1" x14ac:dyDescent="0.25">
      <c r="A33" s="28" t="s">
        <v>2</v>
      </c>
      <c r="B33" s="62" t="s">
        <v>74</v>
      </c>
      <c r="C33" s="29"/>
      <c r="D33" s="29"/>
      <c r="E33" s="29"/>
      <c r="F33" s="29"/>
    </row>
    <row r="34" spans="1:6" ht="15" customHeight="1" thickBot="1" x14ac:dyDescent="0.3">
      <c r="A34" s="40" t="s">
        <v>24</v>
      </c>
      <c r="B34" s="63" t="s">
        <v>75</v>
      </c>
      <c r="C34" s="29"/>
      <c r="D34" s="29"/>
      <c r="E34" s="29"/>
      <c r="F34" s="29"/>
    </row>
    <row r="35" spans="1:6" ht="15" customHeight="1" x14ac:dyDescent="0.25">
      <c r="C35" s="29"/>
      <c r="D35" s="29"/>
      <c r="E35" s="29"/>
      <c r="F35" s="29"/>
    </row>
    <row r="36" spans="1:6" ht="75" customHeight="1" x14ac:dyDescent="0.25">
      <c r="A36" s="94" t="s">
        <v>120</v>
      </c>
      <c r="B36" s="95"/>
      <c r="C36" s="95"/>
      <c r="D36" s="95"/>
      <c r="E36" s="95"/>
      <c r="F36" s="96"/>
    </row>
    <row r="37" spans="1:6" ht="15" customHeight="1" x14ac:dyDescent="0.25">
      <c r="A37" s="97" t="s">
        <v>118</v>
      </c>
      <c r="B37" s="98"/>
      <c r="C37" s="98"/>
      <c r="D37" s="98"/>
      <c r="E37" s="98"/>
      <c r="F37" s="99"/>
    </row>
    <row r="38" spans="1:6" ht="15" customHeight="1" x14ac:dyDescent="0.25">
      <c r="A38" s="100" t="s">
        <v>72</v>
      </c>
      <c r="B38" s="101"/>
      <c r="C38" s="101"/>
      <c r="D38" s="101"/>
      <c r="E38" s="101"/>
      <c r="F38" s="102"/>
    </row>
    <row r="39" spans="1:6" ht="15" customHeight="1" x14ac:dyDescent="0.25">
      <c r="A39" s="41"/>
      <c r="B39" s="41"/>
      <c r="C39" s="41"/>
    </row>
    <row r="40" spans="1:6" ht="15" customHeight="1" x14ac:dyDescent="0.25">
      <c r="A40" s="41"/>
      <c r="B40" s="29"/>
      <c r="C40" s="29"/>
    </row>
    <row r="41" spans="1:6" ht="15" customHeight="1" x14ac:dyDescent="0.25">
      <c r="A41" s="29"/>
      <c r="B41" s="29"/>
      <c r="C41" s="29"/>
    </row>
    <row r="42" spans="1:6" ht="15" customHeight="1" x14ac:dyDescent="0.25">
      <c r="A42" s="29"/>
      <c r="B42" s="29"/>
      <c r="C42" s="29"/>
    </row>
    <row r="43" spans="1:6" ht="15" customHeight="1" x14ac:dyDescent="0.25">
      <c r="A43" s="30"/>
      <c r="B43" s="29"/>
      <c r="C43" s="29"/>
    </row>
    <row r="44" spans="1:6" ht="15" customHeight="1" x14ac:dyDescent="0.25">
      <c r="A44" s="42"/>
      <c r="B44" s="29"/>
      <c r="C44" s="29"/>
    </row>
    <row r="45" spans="1:6" ht="15" customHeight="1" x14ac:dyDescent="0.25">
      <c r="A45" s="29"/>
      <c r="B45" s="29"/>
      <c r="C45" s="29"/>
    </row>
  </sheetData>
  <mergeCells count="9">
    <mergeCell ref="A36:F36"/>
    <mergeCell ref="A37:F37"/>
    <mergeCell ref="A38:F38"/>
    <mergeCell ref="A12:F12"/>
    <mergeCell ref="A1:F1"/>
    <mergeCell ref="A2:F2"/>
    <mergeCell ref="A3:F3"/>
    <mergeCell ref="A5:F5"/>
    <mergeCell ref="A30:F30"/>
  </mergeCells>
  <pageMargins left="0.7" right="0.7" top="0.78740157499999996" bottom="0.78740157499999996"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workbookViewId="0">
      <selection activeCell="B2" sqref="B2"/>
    </sheetView>
  </sheetViews>
  <sheetFormatPr defaultColWidth="9.140625" defaultRowHeight="15" customHeight="1" x14ac:dyDescent="0.25"/>
  <cols>
    <col min="1" max="1" width="5.7109375" style="4" customWidth="1"/>
    <col min="2" max="2" width="15.7109375" style="4" customWidth="1"/>
    <col min="3" max="3" width="5.7109375" style="4" customWidth="1"/>
    <col min="4" max="4" width="12.7109375" style="4" customWidth="1"/>
    <col min="5" max="5" width="20.7109375" style="4" customWidth="1"/>
    <col min="6" max="6" width="10.7109375" style="5" customWidth="1"/>
    <col min="7" max="7" width="5.7109375" style="4" customWidth="1"/>
    <col min="8" max="8" width="8.7109375" style="4" customWidth="1"/>
    <col min="9" max="9" width="20.7109375" style="8" customWidth="1"/>
    <col min="10" max="10" width="20.7109375" style="4" customWidth="1"/>
    <col min="11" max="11" width="50.7109375" style="4" customWidth="1"/>
    <col min="12" max="12" width="5.7109375" style="4" customWidth="1"/>
    <col min="13" max="16384" width="9.140625" style="4"/>
  </cols>
  <sheetData>
    <row r="1" spans="1:11" s="2" customFormat="1" ht="15" customHeight="1" x14ac:dyDescent="0.25">
      <c r="A1" s="6" t="s">
        <v>0</v>
      </c>
      <c r="B1" s="6" t="s">
        <v>9</v>
      </c>
      <c r="D1" s="58" t="s">
        <v>33</v>
      </c>
      <c r="E1" s="58" t="s">
        <v>32</v>
      </c>
      <c r="F1" s="58" t="s">
        <v>129</v>
      </c>
      <c r="H1" s="6" t="s">
        <v>40</v>
      </c>
      <c r="I1" s="6" t="s">
        <v>6</v>
      </c>
      <c r="J1" s="6" t="s">
        <v>88</v>
      </c>
    </row>
    <row r="2" spans="1:11" ht="15" customHeight="1" x14ac:dyDescent="0.25">
      <c r="A2" s="7">
        <v>1</v>
      </c>
      <c r="B2" s="55">
        <v>23.327999114990234</v>
      </c>
      <c r="D2" s="116">
        <f>Calculation!H2</f>
        <v>23.350999196370442</v>
      </c>
      <c r="E2" s="115">
        <f>Calculation!I2</f>
        <v>3.9837309528739741E-2</v>
      </c>
      <c r="F2" s="114" t="str">
        <f>IF(E2&gt;0.4,"Delete the Outlier","")</f>
        <v/>
      </c>
      <c r="H2" s="7" t="s">
        <v>77</v>
      </c>
      <c r="I2" s="9" t="s">
        <v>96</v>
      </c>
      <c r="J2" s="78">
        <v>36</v>
      </c>
      <c r="K2" s="117" t="s">
        <v>107</v>
      </c>
    </row>
    <row r="3" spans="1:11" ht="15" customHeight="1" x14ac:dyDescent="0.25">
      <c r="A3" s="7">
        <v>2</v>
      </c>
      <c r="B3" s="55">
        <v>23.396999359130859</v>
      </c>
      <c r="D3" s="116"/>
      <c r="E3" s="115"/>
      <c r="F3" s="114"/>
      <c r="H3" s="7" t="s">
        <v>78</v>
      </c>
      <c r="I3" s="9" t="s">
        <v>97</v>
      </c>
      <c r="J3" s="78">
        <v>23</v>
      </c>
      <c r="K3" s="117"/>
    </row>
    <row r="4" spans="1:11" ht="15" customHeight="1" x14ac:dyDescent="0.25">
      <c r="A4" s="7">
        <v>3</v>
      </c>
      <c r="B4" s="55">
        <v>23.327999114990234</v>
      </c>
      <c r="D4" s="116"/>
      <c r="E4" s="115"/>
      <c r="F4" s="114"/>
      <c r="H4" s="7" t="s">
        <v>79</v>
      </c>
      <c r="I4" s="9" t="s">
        <v>98</v>
      </c>
      <c r="J4" s="78">
        <v>27</v>
      </c>
      <c r="K4" s="117"/>
    </row>
    <row r="5" spans="1:11" ht="15" customHeight="1" x14ac:dyDescent="0.25">
      <c r="A5" s="7">
        <v>4</v>
      </c>
      <c r="B5" s="55">
        <v>30.211999893188477</v>
      </c>
      <c r="D5" s="116">
        <f>Calculation!H5</f>
        <v>29.974667231241863</v>
      </c>
      <c r="E5" s="115">
        <f>Calculation!I5</f>
        <v>0.20565527927275382</v>
      </c>
      <c r="F5" s="114" t="str">
        <f t="shared" ref="F5" si="0">IF(E5&gt;0.4,"Delete the Outlier","")</f>
        <v/>
      </c>
      <c r="H5" s="7" t="s">
        <v>80</v>
      </c>
      <c r="I5" s="9" t="s">
        <v>99</v>
      </c>
      <c r="J5" s="78">
        <v>13</v>
      </c>
    </row>
    <row r="6" spans="1:11" ht="15" customHeight="1" x14ac:dyDescent="0.25">
      <c r="A6" s="7">
        <v>5</v>
      </c>
      <c r="B6" s="55">
        <v>29.863000869750977</v>
      </c>
      <c r="D6" s="116"/>
      <c r="E6" s="115"/>
      <c r="F6" s="114"/>
      <c r="H6" s="7" t="s">
        <v>81</v>
      </c>
      <c r="I6" s="9" t="s">
        <v>100</v>
      </c>
      <c r="J6" s="78">
        <v>9</v>
      </c>
    </row>
    <row r="7" spans="1:11" ht="15" customHeight="1" x14ac:dyDescent="0.25">
      <c r="A7" s="7">
        <v>6</v>
      </c>
      <c r="B7" s="55">
        <v>29.849000930786133</v>
      </c>
      <c r="D7" s="116"/>
      <c r="E7" s="115"/>
      <c r="F7" s="114"/>
      <c r="H7" s="7" t="s">
        <v>82</v>
      </c>
      <c r="I7" s="9" t="s">
        <v>101</v>
      </c>
      <c r="J7" s="78">
        <v>31</v>
      </c>
    </row>
    <row r="8" spans="1:11" ht="15" customHeight="1" x14ac:dyDescent="0.25">
      <c r="A8" s="7">
        <v>7</v>
      </c>
      <c r="B8" s="55">
        <v>19.319000244140625</v>
      </c>
      <c r="D8" s="116">
        <f>Calculation!H8</f>
        <v>19.319333394368488</v>
      </c>
      <c r="E8" s="115">
        <f>Calculation!I8</f>
        <v>1.2504091965198808E-2</v>
      </c>
      <c r="F8" s="114" t="str">
        <f t="shared" ref="F8" si="1">IF(E8&gt;0.4,"Delete the Outlier","")</f>
        <v/>
      </c>
      <c r="H8" s="7" t="s">
        <v>83</v>
      </c>
      <c r="I8" s="9" t="s">
        <v>102</v>
      </c>
      <c r="J8" s="78">
        <v>22</v>
      </c>
    </row>
    <row r="9" spans="1:11" ht="15" customHeight="1" x14ac:dyDescent="0.25">
      <c r="A9" s="7">
        <v>8</v>
      </c>
      <c r="B9" s="55">
        <v>19.332000732421875</v>
      </c>
      <c r="D9" s="116"/>
      <c r="E9" s="115"/>
      <c r="F9" s="114"/>
      <c r="H9" s="7" t="s">
        <v>84</v>
      </c>
      <c r="I9" s="9" t="s">
        <v>103</v>
      </c>
      <c r="J9" s="78">
        <v>52</v>
      </c>
    </row>
    <row r="10" spans="1:11" ht="15" customHeight="1" x14ac:dyDescent="0.25">
      <c r="A10" s="7">
        <v>9</v>
      </c>
      <c r="B10" s="55">
        <v>19.306999206542969</v>
      </c>
      <c r="D10" s="116"/>
      <c r="E10" s="115"/>
      <c r="F10" s="114"/>
      <c r="H10" s="7" t="s">
        <v>85</v>
      </c>
      <c r="I10" s="9" t="s">
        <v>104</v>
      </c>
      <c r="J10" s="78">
        <v>14</v>
      </c>
    </row>
    <row r="11" spans="1:11" ht="15" customHeight="1" x14ac:dyDescent="0.25">
      <c r="A11" s="7">
        <v>10</v>
      </c>
      <c r="B11" s="55">
        <v>22.250999450683594</v>
      </c>
      <c r="D11" s="116">
        <f>Calculation!H11</f>
        <v>22.245333353678387</v>
      </c>
      <c r="E11" s="115">
        <f>Calculation!I11</f>
        <v>5.5073734236591046E-3</v>
      </c>
      <c r="F11" s="114" t="str">
        <f t="shared" ref="F11" si="2">IF(E11&gt;0.4,"Delete the Outlier","")</f>
        <v/>
      </c>
      <c r="H11" s="7" t="s">
        <v>86</v>
      </c>
      <c r="I11" s="9" t="s">
        <v>105</v>
      </c>
      <c r="J11" s="78">
        <v>5</v>
      </c>
    </row>
    <row r="12" spans="1:11" ht="15" customHeight="1" x14ac:dyDescent="0.25">
      <c r="A12" s="7">
        <v>11</v>
      </c>
      <c r="B12" s="55">
        <v>22.239999771118164</v>
      </c>
      <c r="D12" s="116"/>
      <c r="E12" s="115"/>
      <c r="F12" s="114"/>
      <c r="H12" s="7" t="s">
        <v>106</v>
      </c>
      <c r="I12" s="9" t="s">
        <v>112</v>
      </c>
      <c r="J12" s="78">
        <v>11</v>
      </c>
    </row>
    <row r="13" spans="1:11" ht="15" customHeight="1" x14ac:dyDescent="0.25">
      <c r="A13" s="7">
        <v>12</v>
      </c>
      <c r="B13" s="55">
        <v>22.245000839233398</v>
      </c>
      <c r="D13" s="116"/>
      <c r="E13" s="115"/>
      <c r="F13" s="114"/>
      <c r="H13" s="7" t="s">
        <v>87</v>
      </c>
      <c r="I13" s="44" t="s">
        <v>3</v>
      </c>
      <c r="J13" s="44" t="s">
        <v>3</v>
      </c>
    </row>
    <row r="14" spans="1:11" ht="15" customHeight="1" x14ac:dyDescent="0.25">
      <c r="A14" s="7">
        <v>13</v>
      </c>
      <c r="B14" s="55">
        <v>18.197999954223633</v>
      </c>
      <c r="D14" s="116">
        <f>Calculation!H14</f>
        <v>18.189333597819012</v>
      </c>
      <c r="E14" s="115">
        <f>Calculation!I14</f>
        <v>2.9955728546628691E-2</v>
      </c>
      <c r="F14" s="114" t="str">
        <f t="shared" ref="F14" si="3">IF(E14&gt;0.4,"Delete the Outlier","")</f>
        <v/>
      </c>
    </row>
    <row r="15" spans="1:11" ht="15" customHeight="1" x14ac:dyDescent="0.25">
      <c r="A15" s="7">
        <v>14</v>
      </c>
      <c r="B15" s="55">
        <v>18.156000137329102</v>
      </c>
      <c r="D15" s="116"/>
      <c r="E15" s="115"/>
      <c r="F15" s="114"/>
    </row>
    <row r="16" spans="1:11" ht="15" customHeight="1" x14ac:dyDescent="0.25">
      <c r="A16" s="7">
        <v>15</v>
      </c>
      <c r="B16" s="55">
        <v>18.214000701904297</v>
      </c>
      <c r="D16" s="116"/>
      <c r="E16" s="115"/>
      <c r="F16" s="114"/>
    </row>
    <row r="17" spans="1:6" ht="15" customHeight="1" x14ac:dyDescent="0.25">
      <c r="A17" s="7">
        <v>16</v>
      </c>
      <c r="B17" s="55">
        <v>20.559000015258789</v>
      </c>
      <c r="D17" s="116">
        <f>Calculation!H17</f>
        <v>20.58500035603841</v>
      </c>
      <c r="E17" s="115">
        <f>Calculation!I17</f>
        <v>3.2186991332395568E-2</v>
      </c>
      <c r="F17" s="114" t="str">
        <f t="shared" ref="F17" si="4">IF(E17&gt;0.4,"Delete the Outlier","")</f>
        <v/>
      </c>
    </row>
    <row r="18" spans="1:6" ht="15" customHeight="1" x14ac:dyDescent="0.25">
      <c r="A18" s="7">
        <v>17</v>
      </c>
      <c r="B18" s="55">
        <v>20.575000762939453</v>
      </c>
      <c r="D18" s="116"/>
      <c r="E18" s="115"/>
      <c r="F18" s="114"/>
    </row>
    <row r="19" spans="1:6" ht="15" customHeight="1" x14ac:dyDescent="0.25">
      <c r="A19" s="7">
        <v>18</v>
      </c>
      <c r="B19" s="55">
        <v>20.621000289916992</v>
      </c>
      <c r="D19" s="116"/>
      <c r="E19" s="115"/>
      <c r="F19" s="114"/>
    </row>
    <row r="20" spans="1:6" ht="15" customHeight="1" x14ac:dyDescent="0.25">
      <c r="A20" s="7">
        <v>19</v>
      </c>
      <c r="B20" s="55">
        <v>25.905000686645508</v>
      </c>
      <c r="D20" s="116">
        <f>Calculation!H20</f>
        <v>25.848667144775391</v>
      </c>
      <c r="E20" s="115">
        <f>Calculation!I20</f>
        <v>5.8620545132811994E-2</v>
      </c>
      <c r="F20" s="114" t="str">
        <f t="shared" ref="F20" si="5">IF(E20&gt;0.4,"Delete the Outlier","")</f>
        <v/>
      </c>
    </row>
    <row r="21" spans="1:6" ht="15" customHeight="1" x14ac:dyDescent="0.25">
      <c r="A21" s="7">
        <v>20</v>
      </c>
      <c r="B21" s="55">
        <v>25.788000106811523</v>
      </c>
      <c r="D21" s="116"/>
      <c r="E21" s="115"/>
      <c r="F21" s="114"/>
    </row>
    <row r="22" spans="1:6" ht="15" customHeight="1" x14ac:dyDescent="0.25">
      <c r="A22" s="7">
        <v>21</v>
      </c>
      <c r="B22" s="55">
        <v>25.853000640869141</v>
      </c>
      <c r="D22" s="116"/>
      <c r="E22" s="115"/>
      <c r="F22" s="114"/>
    </row>
    <row r="23" spans="1:6" ht="15" customHeight="1" x14ac:dyDescent="0.25">
      <c r="A23" s="7">
        <v>22</v>
      </c>
      <c r="B23" s="55"/>
      <c r="D23" s="116">
        <f>Calculation!H23</f>
        <v>31.485500335693359</v>
      </c>
      <c r="E23" s="115">
        <f>Calculation!I23</f>
        <v>0.16758396187422875</v>
      </c>
      <c r="F23" s="114" t="str">
        <f t="shared" ref="F23" si="6">IF(E23&gt;0.4,"Delete the Outlier","")</f>
        <v/>
      </c>
    </row>
    <row r="24" spans="1:6" ht="15" customHeight="1" x14ac:dyDescent="0.25">
      <c r="A24" s="7">
        <v>23</v>
      </c>
      <c r="B24" s="55">
        <v>31.604000091552734</v>
      </c>
      <c r="D24" s="116"/>
      <c r="E24" s="115"/>
      <c r="F24" s="114"/>
    </row>
    <row r="25" spans="1:6" ht="15" customHeight="1" x14ac:dyDescent="0.25">
      <c r="A25" s="7">
        <v>24</v>
      </c>
      <c r="B25" s="55">
        <v>31.367000579833984</v>
      </c>
      <c r="D25" s="116"/>
      <c r="E25" s="115"/>
      <c r="F25" s="114"/>
    </row>
    <row r="26" spans="1:6" ht="15" customHeight="1" x14ac:dyDescent="0.25">
      <c r="A26" s="7">
        <v>25</v>
      </c>
      <c r="B26" s="55">
        <v>24.839000701904297</v>
      </c>
      <c r="D26" s="116">
        <f>Calculation!H26</f>
        <v>24.8836669921875</v>
      </c>
      <c r="E26" s="115">
        <f>Calculation!I26</f>
        <v>4.0808342422823829E-2</v>
      </c>
      <c r="F26" s="114" t="str">
        <f t="shared" ref="F26" si="7">IF(E26&gt;0.4,"Delete the Outlier","")</f>
        <v/>
      </c>
    </row>
    <row r="27" spans="1:6" ht="15" customHeight="1" x14ac:dyDescent="0.25">
      <c r="A27" s="7">
        <v>26</v>
      </c>
      <c r="B27" s="55">
        <v>24.919000625610352</v>
      </c>
      <c r="D27" s="116"/>
      <c r="E27" s="115"/>
      <c r="F27" s="114"/>
    </row>
    <row r="28" spans="1:6" ht="15" customHeight="1" x14ac:dyDescent="0.25">
      <c r="A28" s="7">
        <v>27</v>
      </c>
      <c r="B28" s="55">
        <v>24.892999649047852</v>
      </c>
      <c r="D28" s="116"/>
      <c r="E28" s="115"/>
      <c r="F28" s="114"/>
    </row>
    <row r="29" spans="1:6" ht="15" customHeight="1" x14ac:dyDescent="0.25">
      <c r="A29" s="7">
        <v>28</v>
      </c>
      <c r="B29" s="55">
        <v>29.804000854492187</v>
      </c>
      <c r="D29" s="116">
        <f>Calculation!H29</f>
        <v>29.749666849772137</v>
      </c>
      <c r="E29" s="115">
        <f>Calculation!I29</f>
        <v>0.28146131659251428</v>
      </c>
      <c r="F29" s="114" t="str">
        <f t="shared" ref="F29" si="8">IF(E29&gt;0.4,"Delete the Outlier","")</f>
        <v/>
      </c>
    </row>
    <row r="30" spans="1:6" ht="15" customHeight="1" x14ac:dyDescent="0.25">
      <c r="A30" s="7">
        <v>29</v>
      </c>
      <c r="B30" s="55">
        <v>29.444999694824219</v>
      </c>
      <c r="D30" s="116"/>
      <c r="E30" s="115"/>
      <c r="F30" s="114"/>
    </row>
    <row r="31" spans="1:6" ht="15" customHeight="1" x14ac:dyDescent="0.25">
      <c r="A31" s="7">
        <v>30</v>
      </c>
      <c r="B31" s="55">
        <v>30</v>
      </c>
      <c r="D31" s="116"/>
      <c r="E31" s="115"/>
      <c r="F31" s="114"/>
    </row>
    <row r="32" spans="1:6" ht="15" customHeight="1" x14ac:dyDescent="0.25">
      <c r="A32" s="7">
        <v>31</v>
      </c>
      <c r="B32" s="55">
        <v>18.062000274658203</v>
      </c>
      <c r="D32" s="116">
        <f>Calculation!H32</f>
        <v>18.049333572387695</v>
      </c>
      <c r="E32" s="115">
        <f>Calculation!I32</f>
        <v>3.5725287091960524E-2</v>
      </c>
      <c r="F32" s="114" t="str">
        <f t="shared" ref="F32" si="9">IF(E32&gt;0.4,"Delete the Outlier","")</f>
        <v/>
      </c>
    </row>
    <row r="33" spans="1:6" ht="15" customHeight="1" x14ac:dyDescent="0.25">
      <c r="A33" s="7">
        <v>32</v>
      </c>
      <c r="B33" s="55">
        <v>18.076999664306641</v>
      </c>
      <c r="D33" s="116"/>
      <c r="E33" s="115"/>
      <c r="F33" s="114"/>
    </row>
    <row r="34" spans="1:6" ht="15" customHeight="1" x14ac:dyDescent="0.25">
      <c r="A34" s="7">
        <v>33</v>
      </c>
      <c r="B34" s="55">
        <v>18.009000778198242</v>
      </c>
      <c r="D34" s="116"/>
      <c r="E34" s="115"/>
      <c r="F34" s="114"/>
    </row>
    <row r="35" spans="1:6" ht="15" customHeight="1" x14ac:dyDescent="0.25">
      <c r="A35" s="7">
        <v>34</v>
      </c>
      <c r="B35" s="55">
        <v>20.367000579833984</v>
      </c>
      <c r="D35" s="116">
        <f>Calculation!H35</f>
        <v>20.380666732788086</v>
      </c>
      <c r="E35" s="115">
        <f>Calculation!I35</f>
        <v>3.1785582463721027E-2</v>
      </c>
      <c r="F35" s="114" t="str">
        <f t="shared" ref="F35" si="10">IF(E35&gt;0.4,"Delete the Outlier","")</f>
        <v/>
      </c>
    </row>
    <row r="36" spans="1:6" ht="15" customHeight="1" x14ac:dyDescent="0.25">
      <c r="A36" s="7">
        <v>35</v>
      </c>
      <c r="B36" s="55">
        <v>20.416999816894531</v>
      </c>
      <c r="D36" s="116"/>
      <c r="E36" s="115"/>
      <c r="F36" s="114"/>
    </row>
    <row r="37" spans="1:6" ht="15" customHeight="1" x14ac:dyDescent="0.25">
      <c r="A37" s="7">
        <v>36</v>
      </c>
      <c r="B37" s="55">
        <v>20.357999801635742</v>
      </c>
      <c r="D37" s="116"/>
      <c r="E37" s="115"/>
      <c r="F37" s="114"/>
    </row>
    <row r="38" spans="1:6" ht="15" customHeight="1" x14ac:dyDescent="0.25">
      <c r="A38" s="7">
        <v>37</v>
      </c>
      <c r="B38" s="55">
        <v>17.840999603271484</v>
      </c>
      <c r="D38" s="116">
        <f>Calculation!H38</f>
        <v>17.778333028157551</v>
      </c>
      <c r="E38" s="115">
        <f>Calculation!I38</f>
        <v>5.5374341331746062E-2</v>
      </c>
      <c r="F38" s="114" t="str">
        <f t="shared" ref="F38" si="11">IF(E38&gt;0.4,"Delete the Outlier","")</f>
        <v/>
      </c>
    </row>
    <row r="39" spans="1:6" ht="15" customHeight="1" x14ac:dyDescent="0.25">
      <c r="A39" s="7">
        <v>38</v>
      </c>
      <c r="B39" s="55">
        <v>17.736000061035156</v>
      </c>
      <c r="D39" s="116"/>
      <c r="E39" s="115"/>
      <c r="F39" s="114"/>
    </row>
    <row r="40" spans="1:6" ht="15" customHeight="1" x14ac:dyDescent="0.25">
      <c r="A40" s="7">
        <v>39</v>
      </c>
      <c r="B40" s="55">
        <v>17.757999420166016</v>
      </c>
      <c r="D40" s="116"/>
      <c r="E40" s="115"/>
      <c r="F40" s="114"/>
    </row>
    <row r="41" spans="1:6" ht="15" customHeight="1" x14ac:dyDescent="0.25">
      <c r="A41" s="7">
        <v>40</v>
      </c>
      <c r="B41" s="55">
        <v>19.566999435424805</v>
      </c>
      <c r="D41" s="116">
        <f>Calculation!H41</f>
        <v>19.555333455403645</v>
      </c>
      <c r="E41" s="115">
        <f>Calculation!I41</f>
        <v>1.5307826916144145E-2</v>
      </c>
      <c r="F41" s="114" t="str">
        <f t="shared" ref="F41" si="12">IF(E41&gt;0.4,"Delete the Outlier","")</f>
        <v/>
      </c>
    </row>
    <row r="42" spans="1:6" ht="15" customHeight="1" x14ac:dyDescent="0.25">
      <c r="A42" s="7">
        <v>41</v>
      </c>
      <c r="B42" s="55">
        <v>19.561000823974609</v>
      </c>
      <c r="D42" s="116"/>
      <c r="E42" s="115"/>
      <c r="F42" s="114"/>
    </row>
    <row r="43" spans="1:6" ht="15" customHeight="1" x14ac:dyDescent="0.25">
      <c r="A43" s="7">
        <v>42</v>
      </c>
      <c r="B43" s="55">
        <v>19.538000106811523</v>
      </c>
      <c r="D43" s="116"/>
      <c r="E43" s="115"/>
      <c r="F43" s="114"/>
    </row>
    <row r="44" spans="1:6" ht="15" customHeight="1" x14ac:dyDescent="0.25">
      <c r="A44" s="7">
        <v>43</v>
      </c>
      <c r="B44" s="55">
        <v>16.368999481201172</v>
      </c>
      <c r="D44" s="116">
        <f>Calculation!H44</f>
        <v>16.348666508992512</v>
      </c>
      <c r="E44" s="115">
        <f>Calculation!I44</f>
        <v>1.8770005212945994E-2</v>
      </c>
      <c r="F44" s="114" t="str">
        <f t="shared" ref="F44" si="13">IF(E44&gt;0.4,"Delete the Outlier","")</f>
        <v/>
      </c>
    </row>
    <row r="45" spans="1:6" ht="15" customHeight="1" x14ac:dyDescent="0.25">
      <c r="A45" s="7">
        <v>44</v>
      </c>
      <c r="B45" s="55">
        <v>16.344999313354492</v>
      </c>
      <c r="D45" s="116"/>
      <c r="E45" s="115"/>
      <c r="F45" s="114"/>
    </row>
    <row r="46" spans="1:6" ht="15" customHeight="1" x14ac:dyDescent="0.25">
      <c r="A46" s="7">
        <v>45</v>
      </c>
      <c r="B46" s="55">
        <v>16.332000732421875</v>
      </c>
      <c r="D46" s="116"/>
      <c r="E46" s="115"/>
      <c r="F46" s="114"/>
    </row>
    <row r="47" spans="1:6" ht="15" customHeight="1" x14ac:dyDescent="0.25">
      <c r="A47" s="7">
        <v>46</v>
      </c>
      <c r="B47" s="55">
        <v>17.655000686645508</v>
      </c>
      <c r="D47" s="116">
        <f>Calculation!H47</f>
        <v>17.640000025431316</v>
      </c>
      <c r="E47" s="115">
        <f>Calculation!I47</f>
        <v>1.4526460392503354E-2</v>
      </c>
      <c r="F47" s="114" t="str">
        <f t="shared" ref="F47" si="14">IF(E47&gt;0.4,"Delete the Outlier","")</f>
        <v/>
      </c>
    </row>
    <row r="48" spans="1:6" ht="15" customHeight="1" x14ac:dyDescent="0.25">
      <c r="A48" s="7">
        <v>47</v>
      </c>
      <c r="B48" s="55">
        <v>17.625999450683594</v>
      </c>
      <c r="D48" s="116"/>
      <c r="E48" s="115"/>
      <c r="F48" s="114"/>
    </row>
    <row r="49" spans="1:6" ht="15" customHeight="1" x14ac:dyDescent="0.25">
      <c r="A49" s="7">
        <v>48</v>
      </c>
      <c r="B49" s="55">
        <v>17.638999938964844</v>
      </c>
      <c r="D49" s="116"/>
      <c r="E49" s="115"/>
      <c r="F49" s="114"/>
    </row>
    <row r="50" spans="1:6" ht="15" customHeight="1" x14ac:dyDescent="0.25">
      <c r="A50" s="7">
        <v>49</v>
      </c>
      <c r="B50" s="55">
        <v>19.643999099731445</v>
      </c>
      <c r="D50" s="116">
        <f>Calculation!H50</f>
        <v>19.644333521525066</v>
      </c>
      <c r="E50" s="115">
        <f>Calculation!I50</f>
        <v>1.3503319825877498E-2</v>
      </c>
      <c r="F50" s="114" t="str">
        <f t="shared" ref="F50" si="15">IF(E50&gt;0.4,"Delete the Outlier","")</f>
        <v/>
      </c>
    </row>
    <row r="51" spans="1:6" ht="15" customHeight="1" x14ac:dyDescent="0.25">
      <c r="A51" s="7">
        <v>50</v>
      </c>
      <c r="B51" s="55">
        <v>19.631000518798828</v>
      </c>
      <c r="D51" s="116"/>
      <c r="E51" s="115"/>
      <c r="F51" s="114"/>
    </row>
    <row r="52" spans="1:6" ht="15" customHeight="1" x14ac:dyDescent="0.25">
      <c r="A52" s="7">
        <v>51</v>
      </c>
      <c r="B52" s="55">
        <v>19.658000946044922</v>
      </c>
      <c r="D52" s="116"/>
      <c r="E52" s="115"/>
      <c r="F52" s="114"/>
    </row>
    <row r="53" spans="1:6" ht="15" customHeight="1" x14ac:dyDescent="0.25">
      <c r="A53" s="7">
        <v>52</v>
      </c>
      <c r="B53" s="55">
        <v>22.575000762939453</v>
      </c>
      <c r="D53" s="116">
        <f>Calculation!H53</f>
        <v>22.569000244140625</v>
      </c>
      <c r="E53" s="115">
        <f>Calculation!I53</f>
        <v>6.000518798828125E-3</v>
      </c>
      <c r="F53" s="114" t="str">
        <f t="shared" ref="F53" si="16">IF(E53&gt;0.4,"Delete the Outlier","")</f>
        <v/>
      </c>
    </row>
    <row r="54" spans="1:6" ht="15" customHeight="1" x14ac:dyDescent="0.25">
      <c r="A54" s="7">
        <v>53</v>
      </c>
      <c r="B54" s="55">
        <v>22.562999725341797</v>
      </c>
      <c r="D54" s="116"/>
      <c r="E54" s="115"/>
      <c r="F54" s="114"/>
    </row>
    <row r="55" spans="1:6" ht="15" customHeight="1" x14ac:dyDescent="0.25">
      <c r="A55" s="7">
        <v>54</v>
      </c>
      <c r="B55" s="55">
        <v>22.569000244140625</v>
      </c>
      <c r="D55" s="116"/>
      <c r="E55" s="115"/>
      <c r="F55" s="114"/>
    </row>
    <row r="56" spans="1:6" ht="15" customHeight="1" x14ac:dyDescent="0.25">
      <c r="A56" s="7">
        <v>55</v>
      </c>
      <c r="B56" s="55">
        <v>21.097999572753906</v>
      </c>
      <c r="D56" s="116">
        <f>Calculation!H56</f>
        <v>21.031999588012695</v>
      </c>
      <c r="E56" s="115">
        <f>Calculation!I56</f>
        <v>5.7471673640701597E-2</v>
      </c>
      <c r="F56" s="114" t="str">
        <f t="shared" ref="F56" si="17">IF(E56&gt;0.4,"Delete the Outlier","")</f>
        <v/>
      </c>
    </row>
    <row r="57" spans="1:6" ht="15" customHeight="1" x14ac:dyDescent="0.25">
      <c r="A57" s="7">
        <v>56</v>
      </c>
      <c r="B57" s="55">
        <v>20.993000030517578</v>
      </c>
      <c r="D57" s="116"/>
      <c r="E57" s="115"/>
      <c r="F57" s="114"/>
    </row>
    <row r="58" spans="1:6" ht="15" customHeight="1" x14ac:dyDescent="0.25">
      <c r="A58" s="7">
        <v>57</v>
      </c>
      <c r="B58" s="55">
        <v>21.004999160766602</v>
      </c>
      <c r="D58" s="116"/>
      <c r="E58" s="115"/>
      <c r="F58" s="114"/>
    </row>
    <row r="59" spans="1:6" ht="15" customHeight="1" x14ac:dyDescent="0.25">
      <c r="A59" s="7">
        <v>58</v>
      </c>
      <c r="B59" s="55">
        <v>23.975000381469727</v>
      </c>
      <c r="D59" s="116">
        <f>Calculation!H59</f>
        <v>24.001667022705078</v>
      </c>
      <c r="E59" s="115">
        <f>Calculation!I59</f>
        <v>7.4661545657408915E-2</v>
      </c>
      <c r="F59" s="114" t="str">
        <f t="shared" ref="F59" si="18">IF(E59&gt;0.4,"Delete the Outlier","")</f>
        <v/>
      </c>
    </row>
    <row r="60" spans="1:6" ht="15" customHeight="1" x14ac:dyDescent="0.25">
      <c r="A60" s="7">
        <v>59</v>
      </c>
      <c r="B60" s="55">
        <v>23.944000244140625</v>
      </c>
      <c r="D60" s="116"/>
      <c r="E60" s="115"/>
      <c r="F60" s="114"/>
    </row>
    <row r="61" spans="1:6" ht="15" customHeight="1" x14ac:dyDescent="0.25">
      <c r="A61" s="7">
        <v>60</v>
      </c>
      <c r="B61" s="55">
        <v>24.086000442504883</v>
      </c>
      <c r="D61" s="116"/>
      <c r="E61" s="115"/>
      <c r="F61" s="114"/>
    </row>
    <row r="62" spans="1:6" ht="15" customHeight="1" x14ac:dyDescent="0.25">
      <c r="A62" s="7">
        <v>61</v>
      </c>
      <c r="B62" s="55">
        <v>21.302000045776367</v>
      </c>
      <c r="D62" s="116">
        <f>Calculation!H62</f>
        <v>21.275999704996746</v>
      </c>
      <c r="E62" s="115">
        <f>Calculation!I62</f>
        <v>2.7055934474581711E-2</v>
      </c>
      <c r="F62" s="114" t="str">
        <f t="shared" ref="F62" si="19">IF(E62&gt;0.4,"Delete the Outlier","")</f>
        <v/>
      </c>
    </row>
    <row r="63" spans="1:6" ht="15" customHeight="1" x14ac:dyDescent="0.25">
      <c r="A63" s="7">
        <v>62</v>
      </c>
      <c r="B63" s="55">
        <v>21.277999877929688</v>
      </c>
      <c r="D63" s="116"/>
      <c r="E63" s="115"/>
      <c r="F63" s="114"/>
    </row>
    <row r="64" spans="1:6" ht="15" customHeight="1" x14ac:dyDescent="0.25">
      <c r="A64" s="7">
        <v>63</v>
      </c>
      <c r="B64" s="55">
        <v>21.24799919128418</v>
      </c>
      <c r="D64" s="116"/>
      <c r="E64" s="115"/>
      <c r="F64" s="114"/>
    </row>
    <row r="65" spans="1:6" ht="15" customHeight="1" x14ac:dyDescent="0.25">
      <c r="A65" s="7">
        <v>64</v>
      </c>
      <c r="B65" s="55">
        <v>25.153999328613281</v>
      </c>
      <c r="D65" s="116">
        <f>Calculation!H65</f>
        <v>25.223666508992512</v>
      </c>
      <c r="E65" s="115">
        <f>Calculation!I65</f>
        <v>6.8530317184718872E-2</v>
      </c>
      <c r="F65" s="114" t="str">
        <f t="shared" ref="F65" si="20">IF(E65&gt;0.4,"Delete the Outlier","")</f>
        <v/>
      </c>
    </row>
    <row r="66" spans="1:6" ht="15" customHeight="1" x14ac:dyDescent="0.25">
      <c r="A66" s="7">
        <v>65</v>
      </c>
      <c r="B66" s="55">
        <v>25.291000366210938</v>
      </c>
      <c r="D66" s="116"/>
      <c r="E66" s="115"/>
      <c r="F66" s="114"/>
    </row>
    <row r="67" spans="1:6" ht="15" customHeight="1" x14ac:dyDescent="0.25">
      <c r="A67" s="7">
        <v>66</v>
      </c>
      <c r="B67" s="55">
        <v>25.22599983215332</v>
      </c>
      <c r="D67" s="116"/>
      <c r="E67" s="115"/>
      <c r="F67" s="114"/>
    </row>
    <row r="68" spans="1:6" ht="15" customHeight="1" x14ac:dyDescent="0.25">
      <c r="A68" s="7">
        <v>67</v>
      </c>
      <c r="B68" s="55">
        <v>18.625999450683594</v>
      </c>
      <c r="D68" s="116">
        <f>Calculation!H68</f>
        <v>18.603333155314129</v>
      </c>
      <c r="E68" s="115">
        <f>Calculation!I68</f>
        <v>1.9857405272706588E-2</v>
      </c>
      <c r="F68" s="114" t="str">
        <f t="shared" ref="F68" si="21">IF(E68&gt;0.4,"Delete the Outlier","")</f>
        <v/>
      </c>
    </row>
    <row r="69" spans="1:6" ht="15" customHeight="1" x14ac:dyDescent="0.25">
      <c r="A69" s="7">
        <v>68</v>
      </c>
      <c r="B69" s="55">
        <v>18.589000701904297</v>
      </c>
      <c r="D69" s="116"/>
      <c r="E69" s="115"/>
      <c r="F69" s="114"/>
    </row>
    <row r="70" spans="1:6" ht="15" customHeight="1" x14ac:dyDescent="0.25">
      <c r="A70" s="7">
        <v>69</v>
      </c>
      <c r="B70" s="55">
        <v>18.594999313354492</v>
      </c>
      <c r="D70" s="116"/>
      <c r="E70" s="115"/>
      <c r="F70" s="114"/>
    </row>
    <row r="71" spans="1:6" ht="15" customHeight="1" x14ac:dyDescent="0.25">
      <c r="A71" s="7">
        <v>70</v>
      </c>
      <c r="B71" s="55">
        <v>19.169000625610352</v>
      </c>
      <c r="D71" s="116">
        <f>Calculation!H71</f>
        <v>19.196000417073567</v>
      </c>
      <c r="E71" s="115">
        <f>Calculation!I71</f>
        <v>2.4879574763224915E-2</v>
      </c>
      <c r="F71" s="114" t="str">
        <f t="shared" ref="F71" si="22">IF(E71&gt;0.4,"Delete the Outlier","")</f>
        <v/>
      </c>
    </row>
    <row r="72" spans="1:6" ht="15" customHeight="1" x14ac:dyDescent="0.25">
      <c r="A72" s="7">
        <v>71</v>
      </c>
      <c r="B72" s="55">
        <v>19.201000213623047</v>
      </c>
      <c r="D72" s="116"/>
      <c r="E72" s="115"/>
      <c r="F72" s="114"/>
    </row>
    <row r="73" spans="1:6" ht="15" customHeight="1" x14ac:dyDescent="0.25">
      <c r="A73" s="7">
        <v>72</v>
      </c>
      <c r="B73" s="55">
        <v>19.218000411987305</v>
      </c>
      <c r="D73" s="116"/>
      <c r="E73" s="115"/>
      <c r="F73" s="114"/>
    </row>
    <row r="74" spans="1:6" ht="15" customHeight="1" x14ac:dyDescent="0.25">
      <c r="A74" s="8"/>
      <c r="B74" s="8"/>
      <c r="C74" s="8"/>
      <c r="D74" s="8"/>
      <c r="E74" s="8"/>
      <c r="F74" s="8"/>
    </row>
    <row r="75" spans="1:6" ht="15" customHeight="1" x14ac:dyDescent="0.25">
      <c r="A75" s="8"/>
      <c r="B75" s="8"/>
      <c r="C75" s="8"/>
      <c r="D75" s="8"/>
      <c r="E75" s="8"/>
      <c r="F75" s="8"/>
    </row>
    <row r="76" spans="1:6" ht="15" customHeight="1" x14ac:dyDescent="0.25">
      <c r="A76" s="8"/>
      <c r="B76" s="8"/>
      <c r="C76" s="8"/>
      <c r="D76" s="8"/>
      <c r="E76" s="8"/>
      <c r="F76" s="8"/>
    </row>
    <row r="77" spans="1:6" ht="15" customHeight="1" x14ac:dyDescent="0.25">
      <c r="A77" s="8"/>
      <c r="B77" s="8"/>
      <c r="C77" s="8"/>
      <c r="D77" s="8"/>
      <c r="E77" s="8"/>
      <c r="F77" s="8"/>
    </row>
    <row r="78" spans="1:6" ht="15" customHeight="1" x14ac:dyDescent="0.25">
      <c r="A78" s="8"/>
      <c r="B78" s="8"/>
      <c r="C78" s="8"/>
      <c r="D78" s="8"/>
      <c r="E78" s="8"/>
      <c r="F78" s="8"/>
    </row>
    <row r="79" spans="1:6" ht="15" customHeight="1" x14ac:dyDescent="0.25">
      <c r="A79" s="8"/>
      <c r="B79" s="8"/>
      <c r="C79" s="8"/>
      <c r="D79" s="8"/>
      <c r="E79" s="8"/>
      <c r="F79" s="8"/>
    </row>
    <row r="80" spans="1:6" ht="15" customHeight="1" x14ac:dyDescent="0.25">
      <c r="A80" s="8"/>
      <c r="B80" s="8"/>
      <c r="C80" s="8"/>
      <c r="D80" s="8"/>
      <c r="E80" s="8"/>
      <c r="F80" s="8"/>
    </row>
    <row r="81" spans="1:8" ht="15" customHeight="1" x14ac:dyDescent="0.25">
      <c r="A81" s="8"/>
      <c r="B81" s="8"/>
      <c r="C81" s="8"/>
      <c r="D81" s="8"/>
      <c r="E81" s="8"/>
      <c r="F81" s="8"/>
    </row>
    <row r="82" spans="1:8" ht="15" customHeight="1" x14ac:dyDescent="0.25">
      <c r="A82" s="8"/>
      <c r="B82" s="8"/>
      <c r="C82" s="8"/>
      <c r="D82" s="8"/>
      <c r="E82" s="8"/>
      <c r="F82" s="8"/>
    </row>
    <row r="83" spans="1:8" ht="15" customHeight="1" x14ac:dyDescent="0.25">
      <c r="A83" s="8"/>
      <c r="B83" s="8"/>
      <c r="C83" s="8"/>
      <c r="D83" s="8"/>
      <c r="E83" s="8"/>
      <c r="F83" s="8"/>
    </row>
    <row r="84" spans="1:8" ht="15" customHeight="1" x14ac:dyDescent="0.25">
      <c r="A84" s="8"/>
      <c r="B84" s="8"/>
      <c r="C84" s="8"/>
      <c r="D84" s="8"/>
      <c r="E84" s="8"/>
      <c r="F84" s="8"/>
    </row>
    <row r="85" spans="1:8" ht="15" customHeight="1" x14ac:dyDescent="0.25">
      <c r="A85" s="8"/>
      <c r="B85" s="8"/>
      <c r="C85" s="8"/>
      <c r="D85" s="8"/>
      <c r="E85" s="8"/>
      <c r="F85" s="8"/>
    </row>
    <row r="86" spans="1:8" ht="15" customHeight="1" x14ac:dyDescent="0.25">
      <c r="A86" s="8"/>
      <c r="B86" s="8"/>
      <c r="C86" s="8"/>
      <c r="D86" s="8"/>
      <c r="E86" s="8"/>
      <c r="F86" s="8"/>
    </row>
    <row r="87" spans="1:8" ht="15" customHeight="1" x14ac:dyDescent="0.25">
      <c r="A87" s="8"/>
      <c r="B87" s="8"/>
      <c r="C87" s="8"/>
      <c r="D87" s="8"/>
      <c r="E87" s="8"/>
      <c r="F87" s="8"/>
    </row>
    <row r="88" spans="1:8" ht="15" customHeight="1" x14ac:dyDescent="0.25">
      <c r="A88" s="8"/>
      <c r="B88" s="8"/>
      <c r="C88" s="8"/>
      <c r="D88" s="8"/>
      <c r="E88" s="8"/>
      <c r="F88" s="8"/>
    </row>
    <row r="89" spans="1:8" ht="15" customHeight="1" x14ac:dyDescent="0.25">
      <c r="A89" s="8"/>
      <c r="B89" s="8"/>
      <c r="C89" s="8"/>
      <c r="D89" s="8"/>
      <c r="E89" s="8"/>
      <c r="F89" s="8"/>
    </row>
    <row r="90" spans="1:8" ht="15" customHeight="1" x14ac:dyDescent="0.25">
      <c r="A90" s="8"/>
      <c r="B90" s="8"/>
      <c r="C90" s="8"/>
      <c r="D90" s="8"/>
      <c r="E90" s="8"/>
      <c r="F90" s="8"/>
      <c r="H90" s="3"/>
    </row>
    <row r="91" spans="1:8" ht="15" customHeight="1" x14ac:dyDescent="0.25">
      <c r="A91" s="8"/>
      <c r="B91" s="8"/>
      <c r="C91" s="8"/>
      <c r="D91" s="8"/>
      <c r="E91" s="8"/>
      <c r="F91" s="8"/>
      <c r="H91" s="3"/>
    </row>
    <row r="92" spans="1:8" ht="15" customHeight="1" x14ac:dyDescent="0.25">
      <c r="A92" s="8"/>
      <c r="B92" s="8"/>
      <c r="C92" s="8"/>
      <c r="D92" s="8"/>
      <c r="E92" s="8"/>
      <c r="F92" s="8"/>
    </row>
    <row r="93" spans="1:8" ht="15" customHeight="1" x14ac:dyDescent="0.25">
      <c r="A93" s="8"/>
      <c r="B93" s="8"/>
      <c r="C93" s="8"/>
      <c r="D93" s="8"/>
      <c r="E93" s="8"/>
      <c r="F93" s="8"/>
    </row>
    <row r="94" spans="1:8" ht="15" customHeight="1" x14ac:dyDescent="0.25">
      <c r="A94" s="8"/>
      <c r="B94" s="8"/>
      <c r="C94" s="8"/>
      <c r="D94" s="8"/>
      <c r="E94" s="8"/>
      <c r="F94" s="8"/>
      <c r="G94" s="3"/>
    </row>
    <row r="95" spans="1:8" ht="15" customHeight="1" x14ac:dyDescent="0.25">
      <c r="A95" s="8"/>
      <c r="B95" s="8"/>
      <c r="C95" s="8"/>
      <c r="D95" s="8"/>
      <c r="E95" s="8"/>
      <c r="F95" s="8"/>
      <c r="G95" s="3"/>
    </row>
    <row r="96" spans="1:8" ht="15" customHeight="1" x14ac:dyDescent="0.25">
      <c r="A96" s="8"/>
      <c r="B96" s="8"/>
      <c r="C96" s="8"/>
      <c r="D96" s="8"/>
      <c r="E96" s="8"/>
      <c r="F96" s="8"/>
    </row>
    <row r="97" spans="1:6" ht="15" customHeight="1" x14ac:dyDescent="0.25">
      <c r="A97" s="8"/>
      <c r="B97" s="8"/>
      <c r="C97" s="8"/>
      <c r="D97" s="8"/>
      <c r="E97" s="8"/>
      <c r="F97" s="8"/>
    </row>
  </sheetData>
  <mergeCells count="73">
    <mergeCell ref="K2:K4"/>
    <mergeCell ref="F71:F73"/>
    <mergeCell ref="E71:E73"/>
    <mergeCell ref="D71:D73"/>
    <mergeCell ref="F65:F67"/>
    <mergeCell ref="E65:E67"/>
    <mergeCell ref="D65:D67"/>
    <mergeCell ref="F68:F70"/>
    <mergeCell ref="E68:E70"/>
    <mergeCell ref="D68:D70"/>
    <mergeCell ref="F59:F61"/>
    <mergeCell ref="E59:E61"/>
    <mergeCell ref="D59:D61"/>
    <mergeCell ref="F62:F64"/>
    <mergeCell ref="E62:E64"/>
    <mergeCell ref="D62:D64"/>
    <mergeCell ref="F53:F55"/>
    <mergeCell ref="E53:E55"/>
    <mergeCell ref="D53:D55"/>
    <mergeCell ref="F56:F58"/>
    <mergeCell ref="E56:E58"/>
    <mergeCell ref="D56:D58"/>
    <mergeCell ref="F47:F49"/>
    <mergeCell ref="E47:E49"/>
    <mergeCell ref="D47:D49"/>
    <mergeCell ref="F50:F52"/>
    <mergeCell ref="E50:E52"/>
    <mergeCell ref="D50:D52"/>
    <mergeCell ref="F41:F43"/>
    <mergeCell ref="E41:E43"/>
    <mergeCell ref="D41:D43"/>
    <mergeCell ref="F44:F46"/>
    <mergeCell ref="E44:E46"/>
    <mergeCell ref="D44:D46"/>
    <mergeCell ref="F2:F4"/>
    <mergeCell ref="E2:E4"/>
    <mergeCell ref="D2:D4"/>
    <mergeCell ref="F5:F7"/>
    <mergeCell ref="E5:E7"/>
    <mergeCell ref="D5:D7"/>
    <mergeCell ref="F8:F10"/>
    <mergeCell ref="E8:E10"/>
    <mergeCell ref="D8:D10"/>
    <mergeCell ref="F11:F13"/>
    <mergeCell ref="E11:E13"/>
    <mergeCell ref="D11:D13"/>
    <mergeCell ref="F14:F16"/>
    <mergeCell ref="E14:E16"/>
    <mergeCell ref="D14:D16"/>
    <mergeCell ref="F17:F19"/>
    <mergeCell ref="E17:E19"/>
    <mergeCell ref="D17:D19"/>
    <mergeCell ref="F20:F22"/>
    <mergeCell ref="E20:E22"/>
    <mergeCell ref="D20:D22"/>
    <mergeCell ref="F23:F25"/>
    <mergeCell ref="E23:E25"/>
    <mergeCell ref="D23:D25"/>
    <mergeCell ref="F26:F28"/>
    <mergeCell ref="E26:E28"/>
    <mergeCell ref="D26:D28"/>
    <mergeCell ref="F29:F31"/>
    <mergeCell ref="E29:E31"/>
    <mergeCell ref="D29:D31"/>
    <mergeCell ref="F38:F40"/>
    <mergeCell ref="E38:E40"/>
    <mergeCell ref="D38:D40"/>
    <mergeCell ref="F32:F34"/>
    <mergeCell ref="E32:E34"/>
    <mergeCell ref="D32:D34"/>
    <mergeCell ref="F35:F37"/>
    <mergeCell ref="E35:E37"/>
    <mergeCell ref="D35:D37"/>
  </mergeCells>
  <conditionalFormatting sqref="E2 E5 E8 E11 E14 E17 E20 E23 E26 E29 E32 E35 E38 E41 E44 E47 E50 E53 E56 E59 E62 E65 E68 E71">
    <cfRule type="cellIs" dxfId="0" priority="7" stopIfTrue="1" operator="greaterThan">
      <formula>0.4</formula>
    </cfRule>
  </conditionalFormatting>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workbookViewId="0">
      <selection sqref="A1:A2"/>
    </sheetView>
  </sheetViews>
  <sheetFormatPr defaultColWidth="9.140625" defaultRowHeight="15" customHeight="1" x14ac:dyDescent="0.25"/>
  <cols>
    <col min="1" max="1" width="20.7109375" style="8" customWidth="1"/>
    <col min="2" max="4" width="10.7109375" style="8" customWidth="1"/>
    <col min="5" max="7" width="20.7109375" style="8" customWidth="1"/>
    <col min="8" max="8" width="50.7109375" style="8" customWidth="1"/>
    <col min="9" max="9" width="5.7109375" style="8" customWidth="1"/>
    <col min="10" max="16384" width="9.140625" style="8"/>
  </cols>
  <sheetData>
    <row r="1" spans="1:8" ht="15" customHeight="1" x14ac:dyDescent="0.25">
      <c r="A1" s="124" t="s">
        <v>6</v>
      </c>
      <c r="B1" s="126" t="s">
        <v>68</v>
      </c>
      <c r="C1" s="126"/>
      <c r="D1" s="126"/>
      <c r="E1" s="118" t="s">
        <v>108</v>
      </c>
      <c r="F1" s="118" t="s">
        <v>109</v>
      </c>
      <c r="G1" s="120" t="s">
        <v>110</v>
      </c>
      <c r="H1" s="122" t="s">
        <v>111</v>
      </c>
    </row>
    <row r="2" spans="1:8" ht="15" customHeight="1" x14ac:dyDescent="0.25">
      <c r="A2" s="125"/>
      <c r="B2" s="79" t="s">
        <v>31</v>
      </c>
      <c r="C2" s="79" t="s">
        <v>67</v>
      </c>
      <c r="D2" s="79" t="s">
        <v>11</v>
      </c>
      <c r="E2" s="119"/>
      <c r="F2" s="119"/>
      <c r="G2" s="121"/>
      <c r="H2" s="123"/>
    </row>
    <row r="3" spans="1:8" ht="15" customHeight="1" x14ac:dyDescent="0.25">
      <c r="A3" s="76" t="str">
        <f>IF('Raw Data &amp; Analysis Setup'!I2="","",'Raw Data &amp; Analysis Setup'!I2)</f>
        <v>Thyroid Tumor</v>
      </c>
      <c r="B3" s="65" t="str">
        <f>Calculation!AA3</f>
        <v>Pass</v>
      </c>
      <c r="C3" s="66">
        <f>Calculation!P3</f>
        <v>6.0310007731119844E-2</v>
      </c>
      <c r="D3" s="67" t="str">
        <f>IF(ISNUMBER(C3), IF(C3&gt;0.04, "Low","High"), "")</f>
        <v>Low</v>
      </c>
      <c r="E3" s="72">
        <f>IF(ISNUMBER('Raw Data &amp; Analysis Setup'!J2), 'Raw Data &amp; Analysis Setup'!J2, " ")</f>
        <v>36</v>
      </c>
      <c r="F3" s="73" t="str">
        <f>IF(AND(ISNUMBER(Calculation!S3),ISNUMBER('Raw Data &amp; Analysis Setup'!J2)),TEXT(Calculation!T3,"0.0")&amp;" - "&amp;TEXT(Calculation!U3,"0.0")&amp;" µL","")</f>
        <v>3.3 - 6.9 µL</v>
      </c>
      <c r="G3" s="53" t="str">
        <f>IF(Calculation!P3&lt;0.04,"40-100ng",IF(Calculation!Q3&lt;=9,"120-250ng",""))</f>
        <v>120-250ng</v>
      </c>
      <c r="H3" s="74" t="str">
        <f>IF(ISNUMBER(Calculation!R3),IF(Calculation!S3=" ","We do not recommend proceeding with this sample.",""), "")</f>
        <v/>
      </c>
    </row>
    <row r="4" spans="1:8" ht="15" customHeight="1" x14ac:dyDescent="0.25">
      <c r="A4" s="76" t="str">
        <f>IF('Raw Data &amp; Analysis Setup'!I3="","",'Raw Data &amp; Analysis Setup'!I3)</f>
        <v>Normal Thyroid</v>
      </c>
      <c r="B4" s="45" t="str">
        <f>Calculation!AA4</f>
        <v>Pass</v>
      </c>
      <c r="C4" s="46">
        <f>Calculation!P4</f>
        <v>2.3333326975504606E-2</v>
      </c>
      <c r="D4" s="47" t="str">
        <f t="shared" ref="D4:D12" si="0">IF(ISNUMBER(C4), IF(C4&gt;0.04, "Low","High"), "")</f>
        <v>High</v>
      </c>
      <c r="E4" s="71">
        <f>IF(ISNUMBER('Raw Data &amp; Analysis Setup'!J3), 'Raw Data &amp; Analysis Setup'!J3, " ")</f>
        <v>23</v>
      </c>
      <c r="F4" s="73" t="str">
        <f>IF(AND(ISNUMBER(Calculation!S4),ISNUMBER('Raw Data &amp; Analysis Setup'!J3)),TEXT(Calculation!T4,"0.0")&amp;" - "&amp;TEXT(Calculation!U4,"0.0")&amp;" µL","")</f>
        <v>1.7 - 4.3 µL</v>
      </c>
      <c r="G4" s="53" t="str">
        <f>IF(Calculation!P4&lt;0.04,"40-100ng",IF(Calculation!Q4&lt;=9,"120-250ng",""))</f>
        <v>40-100ng</v>
      </c>
      <c r="H4" s="74" t="str">
        <f>IF(ISNUMBER(Calculation!R4),IF(Calculation!S4=" ","We do not recommend proceeding with this sample.",""), "")</f>
        <v/>
      </c>
    </row>
    <row r="5" spans="1:8" ht="15" customHeight="1" x14ac:dyDescent="0.25">
      <c r="A5" s="76" t="str">
        <f>IF('Raw Data &amp; Analysis Setup'!I4="","",'Raw Data &amp; Analysis Setup'!I4)</f>
        <v>Melanoma 1</v>
      </c>
      <c r="B5" s="45" t="str">
        <f>Calculation!AA5</f>
        <v>Pass</v>
      </c>
      <c r="C5" s="46">
        <f>Calculation!P5</f>
        <v>1.8029994964599609E-2</v>
      </c>
      <c r="D5" s="47" t="str">
        <f t="shared" si="0"/>
        <v>High</v>
      </c>
      <c r="E5" s="71">
        <f>IF(ISNUMBER('Raw Data &amp; Analysis Setup'!J4), 'Raw Data &amp; Analysis Setup'!J4, " ")</f>
        <v>27</v>
      </c>
      <c r="F5" s="73" t="str">
        <f>IF(AND(ISNUMBER(Calculation!S5),ISNUMBER('Raw Data &amp; Analysis Setup'!J4)),TEXT(Calculation!T5,"0.0")&amp;" - "&amp;TEXT(Calculation!U5,"0.0")&amp;" µL","")</f>
        <v>1.5 - 3.7 µL</v>
      </c>
      <c r="G5" s="53" t="str">
        <f>IF(Calculation!P5&lt;0.04,"40-100ng",IF(Calculation!Q5&lt;=9,"120-250ng",""))</f>
        <v>40-100ng</v>
      </c>
      <c r="H5" s="74" t="str">
        <f>IF(ISNUMBER(Calculation!R5),IF(Calculation!S5=" ","We do not recommend proceeding with this sample.",""), "")</f>
        <v/>
      </c>
    </row>
    <row r="6" spans="1:8" ht="15" customHeight="1" x14ac:dyDescent="0.25">
      <c r="A6" s="76" t="str">
        <f>IF('Raw Data &amp; Analysis Setup'!I5="","",'Raw Data &amp; Analysis Setup'!I5)</f>
        <v>Paired Breast Tumor</v>
      </c>
      <c r="B6" s="45" t="str">
        <f>Calculation!AA6</f>
        <v>Pass</v>
      </c>
      <c r="C6" s="46">
        <f>Calculation!P6</f>
        <v>5.0441659291585311E-2</v>
      </c>
      <c r="D6" s="47" t="str">
        <f t="shared" si="0"/>
        <v>Low</v>
      </c>
      <c r="E6" s="71">
        <f>IF(ISNUMBER('Raw Data &amp; Analysis Setup'!J5), 'Raw Data &amp; Analysis Setup'!J5, " ")</f>
        <v>13</v>
      </c>
      <c r="F6" s="73" t="str">
        <f>IF(AND(ISNUMBER(Calculation!S6),ISNUMBER('Raw Data &amp; Analysis Setup'!J5)),TEXT(Calculation!T6,"0.0")&amp;" - "&amp;TEXT(Calculation!U6,"0.0")&amp;" µL","")</f>
        <v/>
      </c>
      <c r="G6" s="53" t="str">
        <f>IF(Calculation!P6&lt;0.04,"40-100ng",IF(Calculation!Q6&lt;=9,"120-250ng",""))</f>
        <v/>
      </c>
      <c r="H6" s="74" t="str">
        <f>IF(ISNUMBER(Calculation!R6),IF(Calculation!S6=" ","We do not recommend proceeding with this sample.",""), "")</f>
        <v>We do not recommend proceeding with this sample.</v>
      </c>
    </row>
    <row r="7" spans="1:8" ht="15" customHeight="1" x14ac:dyDescent="0.25">
      <c r="A7" s="76" t="str">
        <f>IF('Raw Data &amp; Analysis Setup'!I6="","",'Raw Data &amp; Analysis Setup'!I6)</f>
        <v>Paired Normal Breast</v>
      </c>
      <c r="B7" s="45" t="str">
        <f>Calculation!AA7</f>
        <v>Pass</v>
      </c>
      <c r="C7" s="46">
        <f>Calculation!P7</f>
        <v>4.2733325958251987E-2</v>
      </c>
      <c r="D7" s="47" t="str">
        <f t="shared" si="0"/>
        <v>Low</v>
      </c>
      <c r="E7" s="71">
        <f>IF(ISNUMBER('Raw Data &amp; Analysis Setup'!J6), 'Raw Data &amp; Analysis Setup'!J6, " ")</f>
        <v>9</v>
      </c>
      <c r="F7" s="73" t="str">
        <f>IF(AND(ISNUMBER(Calculation!S7),ISNUMBER('Raw Data &amp; Analysis Setup'!J6)),TEXT(Calculation!T7,"0.0")&amp;" - "&amp;TEXT(Calculation!U7,"0.0")&amp;" µL","")</f>
        <v>13.3 - 27.8 µL</v>
      </c>
      <c r="G7" s="53" t="str">
        <f>IF(Calculation!P7&lt;0.04,"40-100ng",IF(Calculation!Q7&lt;=9,"120-250ng",""))</f>
        <v>120-250ng</v>
      </c>
      <c r="H7" s="74" t="str">
        <f>IF(ISNUMBER(Calculation!R7),IF(Calculation!S7=" ","We do not recommend proceeding with this sample.",""), "")</f>
        <v/>
      </c>
    </row>
    <row r="8" spans="1:8" ht="15" customHeight="1" x14ac:dyDescent="0.25">
      <c r="A8" s="76" t="str">
        <f>IF('Raw Data &amp; Analysis Setup'!I7="","",'Raw Data &amp; Analysis Setup'!I7)</f>
        <v>Melanoma 2</v>
      </c>
      <c r="B8" s="45" t="str">
        <f>Calculation!AA8</f>
        <v>Pass</v>
      </c>
      <c r="C8" s="46">
        <f>Calculation!P8</f>
        <v>1.738665898640953E-2</v>
      </c>
      <c r="D8" s="47" t="str">
        <f t="shared" si="0"/>
        <v>High</v>
      </c>
      <c r="E8" s="71">
        <f>IF(ISNUMBER('Raw Data &amp; Analysis Setup'!J7), 'Raw Data &amp; Analysis Setup'!J7, " ")</f>
        <v>31</v>
      </c>
      <c r="F8" s="73" t="str">
        <f>IF(AND(ISNUMBER(Calculation!S8),ISNUMBER('Raw Data &amp; Analysis Setup'!J7)),TEXT(Calculation!T8,"0.0")&amp;" - "&amp;TEXT(Calculation!U8,"0.0")&amp;" µL","")</f>
        <v>1.3 - 3.2 µL</v>
      </c>
      <c r="G8" s="53" t="str">
        <f>IF(Calculation!P8&lt;0.04,"40-100ng",IF(Calculation!Q8&lt;=9,"120-250ng",""))</f>
        <v>40-100ng</v>
      </c>
      <c r="H8" s="74" t="str">
        <f>IF(ISNUMBER(Calculation!R8),IF(Calculation!S8=" ","We do not recommend proceeding with this sample.",""), "")</f>
        <v/>
      </c>
    </row>
    <row r="9" spans="1:8" ht="15" customHeight="1" x14ac:dyDescent="0.25">
      <c r="A9" s="76" t="str">
        <f>IF('Raw Data &amp; Analysis Setup'!I8="","",'Raw Data &amp; Analysis Setup'!I8)</f>
        <v>NTS (all-prep)</v>
      </c>
      <c r="B9" s="45" t="str">
        <f>Calculation!AA9</f>
        <v>Pass</v>
      </c>
      <c r="C9" s="46">
        <f>Calculation!P9</f>
        <v>1.1843331654866561E-2</v>
      </c>
      <c r="D9" s="47" t="str">
        <f t="shared" si="0"/>
        <v>High</v>
      </c>
      <c r="E9" s="71">
        <f>IF(ISNUMBER('Raw Data &amp; Analysis Setup'!J8), 'Raw Data &amp; Analysis Setup'!J8, " ")</f>
        <v>22</v>
      </c>
      <c r="F9" s="73" t="str">
        <f>IF(AND(ISNUMBER(Calculation!S9),ISNUMBER('Raw Data &amp; Analysis Setup'!J8)),TEXT(Calculation!T9,"0.0")&amp;" - "&amp;TEXT(Calculation!U9,"0.0")&amp;" µL","")</f>
        <v>1.8 - 4.5 µL</v>
      </c>
      <c r="G9" s="53" t="str">
        <f>IF(Calculation!P9&lt;0.04,"40-100ng",IF(Calculation!Q9&lt;=9,"120-250ng",""))</f>
        <v>40-100ng</v>
      </c>
      <c r="H9" s="74" t="str">
        <f>IF(ISNUMBER(Calculation!R9),IF(Calculation!S9=" ","We do not recommend proceeding with this sample.",""), "")</f>
        <v/>
      </c>
    </row>
    <row r="10" spans="1:8" ht="15" customHeight="1" x14ac:dyDescent="0.25">
      <c r="A10" s="76" t="str">
        <f>IF('Raw Data &amp; Analysis Setup'!I9="","",'Raw Data &amp; Analysis Setup'!I9)</f>
        <v>N30 (all-prep)</v>
      </c>
      <c r="B10" s="45" t="str">
        <f>Calculation!AA10</f>
        <v>Pass</v>
      </c>
      <c r="C10" s="46">
        <f>Calculation!P10</f>
        <v>6.986662546793667E-3</v>
      </c>
      <c r="D10" s="47" t="str">
        <f t="shared" si="0"/>
        <v>High</v>
      </c>
      <c r="E10" s="71">
        <f>IF(ISNUMBER('Raw Data &amp; Analysis Setup'!J9), 'Raw Data &amp; Analysis Setup'!J9, " ")</f>
        <v>52</v>
      </c>
      <c r="F10" s="73" t="str">
        <f>IF(AND(ISNUMBER(Calculation!S10),ISNUMBER('Raw Data &amp; Analysis Setup'!J9)),TEXT(Calculation!T10,"0.0")&amp;" - "&amp;TEXT(Calculation!U10,"0.0")&amp;" µL","")</f>
        <v>0.8 - 1.9 µL</v>
      </c>
      <c r="G10" s="53" t="str">
        <f>IF(Calculation!P10&lt;0.04,"40-100ng",IF(Calculation!Q10&lt;=9,"120-250ng",""))</f>
        <v>40-100ng</v>
      </c>
      <c r="H10" s="74" t="str">
        <f>IF(ISNUMBER(Calculation!R10),IF(Calculation!S10=" ","We do not recommend proceeding with this sample.",""), "")</f>
        <v/>
      </c>
    </row>
    <row r="11" spans="1:8" ht="15" customHeight="1" x14ac:dyDescent="0.25">
      <c r="A11" s="76" t="str">
        <f>IF('Raw Data &amp; Analysis Setup'!I10="","",'Raw Data &amp; Analysis Setup'!I10)</f>
        <v>PLT</v>
      </c>
      <c r="B11" s="45" t="str">
        <f>Calculation!AA11</f>
        <v>Pass</v>
      </c>
      <c r="C11" s="46">
        <f>Calculation!P11</f>
        <v>2.3319994608561212E-2</v>
      </c>
      <c r="D11" s="47" t="str">
        <f t="shared" si="0"/>
        <v>High</v>
      </c>
      <c r="E11" s="71">
        <f>IF(ISNUMBER('Raw Data &amp; Analysis Setup'!J10), 'Raw Data &amp; Analysis Setup'!J10, " ")</f>
        <v>14</v>
      </c>
      <c r="F11" s="73" t="str">
        <f>IF(AND(ISNUMBER(Calculation!S11),ISNUMBER('Raw Data &amp; Analysis Setup'!J10)),TEXT(Calculation!T11,"0.0")&amp;" - "&amp;TEXT(Calculation!U11,"0.0")&amp;" µL","")</f>
        <v>2.9 - 7.1 µL</v>
      </c>
      <c r="G11" s="53" t="str">
        <f>IF(Calculation!P11&lt;0.04,"40-100ng",IF(Calculation!Q11&lt;=9,"120-250ng",""))</f>
        <v>40-100ng</v>
      </c>
      <c r="H11" s="74" t="str">
        <f>IF(ISNUMBER(Calculation!R11),IF(Calculation!S11=" ","We do not recommend proceeding with this sample.",""), "")</f>
        <v/>
      </c>
    </row>
    <row r="12" spans="1:8" ht="15" customHeight="1" x14ac:dyDescent="0.25">
      <c r="A12" s="76" t="str">
        <f>IF('Raw Data &amp; Analysis Setup'!I11="","",'Raw Data &amp; Analysis Setup'!I11)</f>
        <v>PLN</v>
      </c>
      <c r="B12" s="45" t="str">
        <f>Calculation!AA12</f>
        <v>Pass</v>
      </c>
      <c r="C12" s="46">
        <f>Calculation!P12</f>
        <v>2.377000172932945E-2</v>
      </c>
      <c r="D12" s="47" t="str">
        <f t="shared" si="0"/>
        <v>High</v>
      </c>
      <c r="E12" s="72">
        <f>IF(ISNUMBER('Raw Data &amp; Analysis Setup'!J11), 'Raw Data &amp; Analysis Setup'!J11, " ")</f>
        <v>5</v>
      </c>
      <c r="F12" s="73" t="str">
        <f>IF(AND(ISNUMBER(Calculation!S12),ISNUMBER('Raw Data &amp; Analysis Setup'!J11)),TEXT(Calculation!T12,"0.0")&amp;" - "&amp;TEXT(Calculation!U12,"0.0")&amp;" µL","")</f>
        <v>8.0 - 20.0 µL</v>
      </c>
      <c r="G12" s="53" t="str">
        <f>IF(Calculation!P12&lt;0.04,"40-100ng",IF(Calculation!Q12&lt;=9,"120-250ng",""))</f>
        <v>40-100ng</v>
      </c>
      <c r="H12" s="74" t="str">
        <f>IF(ISNUMBER(Calculation!R12),IF(Calculation!S12=" ","We do not recommend proceeding with this sample.",""), "")</f>
        <v/>
      </c>
    </row>
    <row r="13" spans="1:8" ht="15" customHeight="1" thickBot="1" x14ac:dyDescent="0.3">
      <c r="A13" s="76" t="str">
        <f>IF('Raw Data &amp; Analysis Setup'!I12="","",'Raw Data &amp; Analysis Setup'!I12)</f>
        <v>FFPE Melanoma</v>
      </c>
      <c r="B13" s="45" t="str">
        <f>Calculation!AA13</f>
        <v>Pass</v>
      </c>
      <c r="C13" s="48">
        <f>Calculation!P13</f>
        <v>3.3549995422363282E-2</v>
      </c>
      <c r="D13" s="49" t="str">
        <f t="shared" ref="D13" si="1">IF(ISNUMBER(C13), IF(C13&gt;0.04, "Low","High"), "")</f>
        <v>High</v>
      </c>
      <c r="E13" s="75">
        <f>IF(ISNUMBER('Raw Data &amp; Analysis Setup'!J12), 'Raw Data &amp; Analysis Setup'!J12, " ")</f>
        <v>11</v>
      </c>
      <c r="F13" s="50" t="str">
        <f>IF(AND(ISNUMBER(Calculation!S13),ISNUMBER('Raw Data &amp; Analysis Setup'!J12)),TEXT(Calculation!T13,"0.0")&amp;" - "&amp;TEXT(Calculation!U13,"0.0")&amp;" µL","")</f>
        <v>3.6 - 9.1 µL</v>
      </c>
      <c r="G13" s="54" t="str">
        <f>IF(Calculation!P13&lt;0.04,"40-100ng",IF(Calculation!Q13&lt;=9,"120-250ng",""))</f>
        <v>40-100ng</v>
      </c>
      <c r="H13" s="68" t="str">
        <f>IF(ISNUMBER(Calculation!R13),IF(Calculation!S13=" ","We do not recommend proceeding with this sample.",""), "")</f>
        <v/>
      </c>
    </row>
    <row r="14" spans="1:8" ht="15" customHeight="1" thickBot="1" x14ac:dyDescent="0.3">
      <c r="A14" s="77" t="str">
        <f>IF('Raw Data &amp; Analysis Setup'!I13="","",'Raw Data &amp; Analysis Setup'!I13)</f>
        <v>Control</v>
      </c>
      <c r="B14" s="64" t="str">
        <f>Calculation!AA14</f>
        <v>Pass</v>
      </c>
      <c r="C14" s="10"/>
      <c r="D14" s="11"/>
    </row>
    <row r="16" spans="1:8" ht="15" customHeight="1" x14ac:dyDescent="0.25">
      <c r="A16" s="2"/>
      <c r="B16" s="2"/>
      <c r="C16" s="2"/>
      <c r="D16" s="2"/>
    </row>
  </sheetData>
  <mergeCells count="6">
    <mergeCell ref="F1:F2"/>
    <mergeCell ref="G1:G2"/>
    <mergeCell ref="H1:H2"/>
    <mergeCell ref="E1:E2"/>
    <mergeCell ref="A1:A2"/>
    <mergeCell ref="B1:D1"/>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zoomScaleNormal="100" workbookViewId="0"/>
  </sheetViews>
  <sheetFormatPr defaultColWidth="9.140625" defaultRowHeight="15" customHeight="1" x14ac:dyDescent="0.25"/>
  <cols>
    <col min="1" max="1" width="5.7109375" style="4" customWidth="1"/>
    <col min="2" max="2" width="10.7109375" style="17" customWidth="1"/>
    <col min="3" max="3" width="8.7109375" style="4" customWidth="1"/>
    <col min="4" max="4" width="15.7109375" style="4" customWidth="1"/>
    <col min="5" max="5" width="10.7109375" style="4" customWidth="1"/>
    <col min="6" max="6" width="16.7109375" style="4" customWidth="1"/>
    <col min="7" max="7" width="15.7109375" style="4" customWidth="1"/>
    <col min="8" max="8" width="10.7109375" style="4" customWidth="1"/>
    <col min="9" max="9" width="20.7109375" style="4" customWidth="1"/>
    <col min="10" max="10" width="10.7109375" style="4" customWidth="1"/>
    <col min="11" max="11" width="20.7109375" style="4" customWidth="1"/>
    <col min="12" max="12" width="5.7109375" style="4" customWidth="1"/>
    <col min="13" max="13" width="7.5703125" style="4" bestFit="1" customWidth="1"/>
    <col min="14" max="15" width="7.140625" style="4" bestFit="1" customWidth="1"/>
    <col min="16" max="16" width="6" style="4" bestFit="1" customWidth="1"/>
    <col min="17" max="17" width="7.140625" style="4" bestFit="1" customWidth="1"/>
    <col min="18" max="18" width="17.28515625" style="4" bestFit="1" customWidth="1"/>
    <col min="19" max="19" width="12.85546875" style="4" bestFit="1" customWidth="1"/>
    <col min="20" max="20" width="12.85546875" style="4" customWidth="1"/>
    <col min="21" max="21" width="12.42578125" style="4" bestFit="1" customWidth="1"/>
    <col min="22" max="22" width="5.7109375" style="4" customWidth="1"/>
    <col min="23" max="26" width="8.7109375" style="4" customWidth="1"/>
    <col min="27" max="27" width="10.7109375" style="4" customWidth="1"/>
    <col min="28" max="29" width="5.7109375" style="4" customWidth="1"/>
    <col min="30" max="16384" width="9.140625" style="4"/>
  </cols>
  <sheetData>
    <row r="1" spans="1:29" s="2" customFormat="1" ht="15" customHeight="1" x14ac:dyDescent="0.25">
      <c r="A1" s="14" t="s">
        <v>0</v>
      </c>
      <c r="B1" s="21" t="s">
        <v>9</v>
      </c>
      <c r="C1" s="22" t="s">
        <v>34</v>
      </c>
      <c r="D1" s="22" t="s">
        <v>7</v>
      </c>
      <c r="E1" s="22" t="s">
        <v>4</v>
      </c>
      <c r="F1" s="21" t="s">
        <v>37</v>
      </c>
      <c r="G1" s="21" t="s">
        <v>5</v>
      </c>
      <c r="H1" s="21" t="s">
        <v>33</v>
      </c>
      <c r="I1" s="21" t="s">
        <v>32</v>
      </c>
      <c r="J1" s="21" t="s">
        <v>35</v>
      </c>
      <c r="K1" s="21" t="s">
        <v>36</v>
      </c>
      <c r="M1" s="4"/>
      <c r="N1" s="21">
        <v>100</v>
      </c>
      <c r="O1" s="21">
        <v>200</v>
      </c>
      <c r="P1" s="140" t="s">
        <v>38</v>
      </c>
      <c r="Q1" s="21" t="s">
        <v>29</v>
      </c>
      <c r="R1" s="21" t="s">
        <v>30</v>
      </c>
      <c r="S1" s="4"/>
      <c r="T1" s="4"/>
      <c r="U1" s="4"/>
      <c r="W1" s="4"/>
      <c r="X1" s="4"/>
      <c r="Y1" s="4"/>
      <c r="Z1" s="4"/>
      <c r="AA1" s="4"/>
    </row>
    <row r="2" spans="1:29" ht="15" customHeight="1" x14ac:dyDescent="0.25">
      <c r="A2" s="15">
        <f>'Raw Data &amp; Analysis Setup'!A2</f>
        <v>1</v>
      </c>
      <c r="B2" s="56">
        <f>IF(AND(ISNUMBER('Raw Data &amp; Analysis Setup'!B2),'Raw Data &amp; Analysis Setup'!B2&gt;0),'Raw Data &amp; Analysis Setup'!B2,"")</f>
        <v>23.327999114990234</v>
      </c>
      <c r="C2" s="57" t="s">
        <v>13</v>
      </c>
      <c r="D2" s="20">
        <v>67</v>
      </c>
      <c r="E2" s="20" t="s">
        <v>26</v>
      </c>
      <c r="F2" s="138">
        <v>100</v>
      </c>
      <c r="G2" s="138" t="s">
        <v>41</v>
      </c>
      <c r="H2" s="136">
        <f>IF(SUM(B2:B4)&gt;0,AVERAGE(B2:B4),"")</f>
        <v>23.350999196370442</v>
      </c>
      <c r="I2" s="137">
        <f>IF(SUM(B2:B4)&gt;0,STDEV(B2:B4),0)</f>
        <v>3.9837309528739741E-2</v>
      </c>
      <c r="J2" s="136">
        <f>IF(H2&lt;&gt;"",IF(VLOOKUP(D2,$A$2:$H$73,8,FALSE)&gt;0,VLOOKUP(D2,$A$2:$H$73,8,FALSE),""),"")</f>
        <v>18.603333155314129</v>
      </c>
      <c r="K2" s="136">
        <f>IF(ISNUMBER(H2),H2-J2,"")</f>
        <v>4.7476660410563127</v>
      </c>
      <c r="M2" s="21" t="s">
        <v>40</v>
      </c>
      <c r="N2" s="21" t="s">
        <v>70</v>
      </c>
      <c r="O2" s="21" t="s">
        <v>69</v>
      </c>
      <c r="P2" s="141"/>
      <c r="Q2" s="21" t="s">
        <v>66</v>
      </c>
      <c r="R2" s="21" t="s">
        <v>130</v>
      </c>
      <c r="S2" s="69" t="s">
        <v>12</v>
      </c>
      <c r="T2" s="69" t="s">
        <v>89</v>
      </c>
      <c r="U2" s="69" t="s">
        <v>90</v>
      </c>
      <c r="W2" s="21" t="s">
        <v>40</v>
      </c>
      <c r="X2" s="21">
        <v>100</v>
      </c>
      <c r="Y2" s="21">
        <v>200</v>
      </c>
      <c r="Z2" s="21" t="s">
        <v>39</v>
      </c>
      <c r="AA2" s="21" t="s">
        <v>31</v>
      </c>
      <c r="AC2" s="2"/>
    </row>
    <row r="3" spans="1:29" ht="15" customHeight="1" x14ac:dyDescent="0.25">
      <c r="A3" s="15">
        <f>'Raw Data &amp; Analysis Setup'!A3</f>
        <v>2</v>
      </c>
      <c r="B3" s="56">
        <f>IF(AND(ISNUMBER('Raw Data &amp; Analysis Setup'!B3),'Raw Data &amp; Analysis Setup'!B3&gt;0),'Raw Data &amp; Analysis Setup'!B3,"")</f>
        <v>23.396999359130859</v>
      </c>
      <c r="C3" s="20" t="s">
        <v>13</v>
      </c>
      <c r="D3" s="20">
        <v>68</v>
      </c>
      <c r="E3" s="20" t="s">
        <v>26</v>
      </c>
      <c r="F3" s="138"/>
      <c r="G3" s="138"/>
      <c r="H3" s="136"/>
      <c r="I3" s="137"/>
      <c r="J3" s="136"/>
      <c r="K3" s="136"/>
      <c r="M3" s="16" t="s">
        <v>13</v>
      </c>
      <c r="N3" s="23">
        <f t="shared" ref="N3:N14" si="0">VLOOKUP(M3&amp;"_100",$G$2:$K$73, 5,FALSE)</f>
        <v>4.7476660410563127</v>
      </c>
      <c r="O3" s="23">
        <f t="shared" ref="O3:O14" si="1">VLOOKUP(M3&amp;"_200",$G$2:$K$73, 5,FALSE)</f>
        <v>10.778666814168297</v>
      </c>
      <c r="P3" s="23">
        <f t="shared" ref="P3:P14" si="2">IF(ISNUMBER(N3),IF(ISNUMBER(O3),SLOPE(N3:O3,$N$1:$O$1),""),"")</f>
        <v>6.0310007731119844E-2</v>
      </c>
      <c r="Q3" s="23">
        <f>IF(ISNUMBER(O3), IF(ISNUMBER(P3), O3-50*P3,""),"")</f>
        <v>7.7631664276123047</v>
      </c>
      <c r="R3" s="13">
        <f>IF(ISNUMBER(Q3),1/2^Q3*5,"")</f>
        <v>2.3015692592298999E-2</v>
      </c>
      <c r="S3" s="25">
        <f>IF(ISNUMBER(Q3), IF(P3&lt;0.001,0,IF(OR(R3&lt;0.01, Q3&gt;9)," ", 6)), " ")</f>
        <v>6</v>
      </c>
      <c r="T3" s="70">
        <f>IF(ISNUMBER('Raw Data &amp; Analysis Setup'!J2), IF(Calculation!P3&lt;0.04, 40/'Raw Data &amp; Analysis Setup'!J2, IF(Calculation!Q3&lt;=9, 120/'Raw Data &amp; Analysis Setup'!J2, "")), "")</f>
        <v>3.3333333333333335</v>
      </c>
      <c r="U3" s="70">
        <f>IF(ISNUMBER('Raw Data &amp; Analysis Setup'!J2), IF(Calculation!P3&lt;0.04, 100/'Raw Data &amp; Analysis Setup'!J2, IF(Calculation!Q3&lt;=9, 250/'Raw Data &amp; Analysis Setup'!J2, "")), "")</f>
        <v>6.9444444444444446</v>
      </c>
      <c r="W3" s="24" t="str">
        <f t="shared" ref="W3:W13" si="3">M3</f>
        <v>S1</v>
      </c>
      <c r="X3" s="26">
        <f t="shared" ref="X3:X14" si="4">VLOOKUP(W3&amp;"_100",$G$2:$K$73, 2,FALSE)</f>
        <v>23.350999196370442</v>
      </c>
      <c r="Y3" s="26">
        <f t="shared" ref="Y3:Y14" si="5">VLOOKUP(W3&amp;"_200",$G$2:$K$73, 2,FALSE)</f>
        <v>29.974667231241863</v>
      </c>
      <c r="Z3" s="23">
        <f>IF(ISNUMBER(Y3-X3),Y3-X3,"")</f>
        <v>6.6236680348714216</v>
      </c>
      <c r="AA3" s="25" t="str">
        <f>IF(ISNUMBER(Z3),IF(Z3&lt;-1,"Fail","Pass"),"")</f>
        <v>Pass</v>
      </c>
    </row>
    <row r="4" spans="1:29" ht="15" customHeight="1" x14ac:dyDescent="0.25">
      <c r="A4" s="15">
        <f>'Raw Data &amp; Analysis Setup'!A4</f>
        <v>3</v>
      </c>
      <c r="B4" s="56">
        <f>IF(AND(ISNUMBER('Raw Data &amp; Analysis Setup'!B4),'Raw Data &amp; Analysis Setup'!B4&gt;0),'Raw Data &amp; Analysis Setup'!B4,"")</f>
        <v>23.327999114990234</v>
      </c>
      <c r="C4" s="20" t="s">
        <v>13</v>
      </c>
      <c r="D4" s="20">
        <v>69</v>
      </c>
      <c r="E4" s="20" t="s">
        <v>26</v>
      </c>
      <c r="F4" s="138"/>
      <c r="G4" s="138"/>
      <c r="H4" s="136"/>
      <c r="I4" s="137"/>
      <c r="J4" s="136"/>
      <c r="K4" s="136"/>
      <c r="M4" s="16" t="s">
        <v>14</v>
      </c>
      <c r="N4" s="23">
        <f t="shared" si="0"/>
        <v>0.71600023905435961</v>
      </c>
      <c r="O4" s="23">
        <f t="shared" si="1"/>
        <v>3.0493329366048201</v>
      </c>
      <c r="P4" s="23">
        <f t="shared" si="2"/>
        <v>2.3333326975504606E-2</v>
      </c>
      <c r="Q4" s="23">
        <f>IF(ISNUMBER(O4), IF(ISNUMBER(P4), O4-50*P4,""),"")</f>
        <v>1.8826665878295898</v>
      </c>
      <c r="R4" s="13">
        <f t="shared" ref="R4:R13" si="6">IF(ISNUMBER(Q4),1/2^Q4*5,"")</f>
        <v>1.3559100806922637</v>
      </c>
      <c r="S4" s="25">
        <f t="shared" ref="S4:S14" si="7">IF(ISNUMBER(Q4), IF(P4&lt;0.001,0,IF(OR(R4&lt;0.01, Q4&gt;9)," ", 6)), " ")</f>
        <v>6</v>
      </c>
      <c r="T4" s="70">
        <f>IF(ISNUMBER('Raw Data &amp; Analysis Setup'!J3), IF(Calculation!P4&lt;0.04, 40/'Raw Data &amp; Analysis Setup'!J3, IF(Calculation!Q4&lt;=9, 120/'Raw Data &amp; Analysis Setup'!J3, "")), "")</f>
        <v>1.7391304347826086</v>
      </c>
      <c r="U4" s="70">
        <f>IF(ISNUMBER('Raw Data &amp; Analysis Setup'!J3), IF(Calculation!P4&lt;0.04, 100/'Raw Data &amp; Analysis Setup'!J3, IF(Calculation!Q4&lt;=9, 250/'Raw Data &amp; Analysis Setup'!J3, "")), "")</f>
        <v>4.3478260869565215</v>
      </c>
      <c r="W4" s="24" t="str">
        <f t="shared" si="3"/>
        <v>S2</v>
      </c>
      <c r="X4" s="26">
        <f t="shared" si="4"/>
        <v>19.319333394368488</v>
      </c>
      <c r="Y4" s="26">
        <f t="shared" si="5"/>
        <v>22.245333353678387</v>
      </c>
      <c r="Z4" s="23">
        <f t="shared" ref="Z4:Z14" si="8">IF(ISNUMBER(Y4-X4),Y4-X4,"")</f>
        <v>2.9259999593098982</v>
      </c>
      <c r="AA4" s="25" t="str">
        <f t="shared" ref="AA4:AA13" si="9">IF(ISNUMBER(Z4),IF(Z4&lt;-1,"Fail","Pass"),"")</f>
        <v>Pass</v>
      </c>
    </row>
    <row r="5" spans="1:29" ht="15" customHeight="1" x14ac:dyDescent="0.25">
      <c r="A5" s="19">
        <f>'Raw Data &amp; Analysis Setup'!A5</f>
        <v>4</v>
      </c>
      <c r="B5" s="56">
        <f>IF(AND(ISNUMBER('Raw Data &amp; Analysis Setup'!B5),'Raw Data &amp; Analysis Setup'!B5&gt;0),'Raw Data &amp; Analysis Setup'!B5,"")</f>
        <v>30.211999893188477</v>
      </c>
      <c r="C5" s="57" t="s">
        <v>13</v>
      </c>
      <c r="D5" s="20">
        <v>70</v>
      </c>
      <c r="E5" s="20" t="s">
        <v>27</v>
      </c>
      <c r="F5" s="138">
        <v>200</v>
      </c>
      <c r="G5" s="139" t="s">
        <v>43</v>
      </c>
      <c r="H5" s="136">
        <f>IF(SUM(B5:B7)&gt;0,AVERAGE(B5:B7),"")</f>
        <v>29.974667231241863</v>
      </c>
      <c r="I5" s="137">
        <f>IF(SUM(B5:B7)&gt;0,STDEV(B5:B7),0)</f>
        <v>0.20565527927275382</v>
      </c>
      <c r="J5" s="136">
        <f>IF(H5&lt;&gt;"",IF(VLOOKUP(D5,$A$2:$H$73,8,FALSE)&gt;0,VLOOKUP(D5,$A$2:$H$73,8,FALSE),""),"")</f>
        <v>19.196000417073567</v>
      </c>
      <c r="K5" s="136">
        <f>IF(ISNUMBER(H5),H5-J5,"")</f>
        <v>10.778666814168297</v>
      </c>
      <c r="M5" s="16" t="s">
        <v>15</v>
      </c>
      <c r="N5" s="23">
        <f t="shared" si="0"/>
        <v>-0.41399955749511719</v>
      </c>
      <c r="O5" s="23">
        <f t="shared" si="1"/>
        <v>1.3889999389648437</v>
      </c>
      <c r="P5" s="23">
        <f t="shared" si="2"/>
        <v>1.8029994964599609E-2</v>
      </c>
      <c r="Q5" s="23">
        <f t="shared" ref="Q5:Q14" si="10">IF(ISNUMBER(O5), IF(ISNUMBER(P5), O5-50*P5,""),"")</f>
        <v>0.48750019073486328</v>
      </c>
      <c r="R5" s="13">
        <f t="shared" si="6"/>
        <v>3.5662995931815828</v>
      </c>
      <c r="S5" s="25">
        <f t="shared" si="7"/>
        <v>6</v>
      </c>
      <c r="T5" s="70">
        <f>IF(ISNUMBER('Raw Data &amp; Analysis Setup'!J4), IF(Calculation!P5&lt;0.04, 40/'Raw Data &amp; Analysis Setup'!J4, IF(Calculation!Q5&lt;=9, 120/'Raw Data &amp; Analysis Setup'!J4, "")), "")</f>
        <v>1.4814814814814814</v>
      </c>
      <c r="U5" s="70">
        <f>IF(ISNUMBER('Raw Data &amp; Analysis Setup'!J4), IF(Calculation!P5&lt;0.04, 100/'Raw Data &amp; Analysis Setup'!J4, IF(Calculation!Q5&lt;=9, 250/'Raw Data &amp; Analysis Setup'!J4, "")), "")</f>
        <v>3.7037037037037037</v>
      </c>
      <c r="W5" s="24" t="str">
        <f t="shared" si="3"/>
        <v>S3</v>
      </c>
      <c r="X5" s="26">
        <f t="shared" si="4"/>
        <v>18.189333597819012</v>
      </c>
      <c r="Y5" s="26">
        <f t="shared" si="5"/>
        <v>20.58500035603841</v>
      </c>
      <c r="Z5" s="23">
        <f t="shared" si="8"/>
        <v>2.3956667582193987</v>
      </c>
      <c r="AA5" s="25" t="str">
        <f t="shared" si="9"/>
        <v>Pass</v>
      </c>
    </row>
    <row r="6" spans="1:29" ht="15" customHeight="1" x14ac:dyDescent="0.25">
      <c r="A6" s="15">
        <f>'Raw Data &amp; Analysis Setup'!A6</f>
        <v>5</v>
      </c>
      <c r="B6" s="56">
        <f>IF(AND(ISNUMBER('Raw Data &amp; Analysis Setup'!B6),'Raw Data &amp; Analysis Setup'!B6&gt;0),'Raw Data &amp; Analysis Setup'!B6,"")</f>
        <v>29.863000869750977</v>
      </c>
      <c r="C6" s="20" t="s">
        <v>13</v>
      </c>
      <c r="D6" s="20">
        <v>71</v>
      </c>
      <c r="E6" s="20" t="s">
        <v>27</v>
      </c>
      <c r="F6" s="138"/>
      <c r="G6" s="138"/>
      <c r="H6" s="136"/>
      <c r="I6" s="137"/>
      <c r="J6" s="136"/>
      <c r="K6" s="136"/>
      <c r="M6" s="16" t="s">
        <v>16</v>
      </c>
      <c r="N6" s="23">
        <f t="shared" si="0"/>
        <v>7.2453339894612618</v>
      </c>
      <c r="O6" s="23">
        <f t="shared" si="1"/>
        <v>12.289499918619793</v>
      </c>
      <c r="P6" s="23">
        <f t="shared" si="2"/>
        <v>5.0441659291585311E-2</v>
      </c>
      <c r="Q6" s="23">
        <f t="shared" si="10"/>
        <v>9.7674169540405273</v>
      </c>
      <c r="R6" s="13">
        <f t="shared" si="6"/>
        <v>5.7369956556578422E-3</v>
      </c>
      <c r="S6" s="25" t="str">
        <f t="shared" si="7"/>
        <v xml:space="preserve"> </v>
      </c>
      <c r="T6" s="70" t="str">
        <f>IF(ISNUMBER('Raw Data &amp; Analysis Setup'!J5), IF(Calculation!P6&lt;0.04, 40/'Raw Data &amp; Analysis Setup'!J5, IF(Calculation!Q6&lt;=9, 120/'Raw Data &amp; Analysis Setup'!J5, "")), "")</f>
        <v/>
      </c>
      <c r="U6" s="70" t="str">
        <f>IF(ISNUMBER('Raw Data &amp; Analysis Setup'!J5), IF(Calculation!P6&lt;0.04, 100/'Raw Data &amp; Analysis Setup'!J5, IF(Calculation!Q6&lt;=9, 250/'Raw Data &amp; Analysis Setup'!J5, "")), "")</f>
        <v/>
      </c>
      <c r="W6" s="24" t="str">
        <f t="shared" si="3"/>
        <v>S4</v>
      </c>
      <c r="X6" s="26">
        <f t="shared" si="4"/>
        <v>25.848667144775391</v>
      </c>
      <c r="Y6" s="26">
        <f t="shared" si="5"/>
        <v>31.485500335693359</v>
      </c>
      <c r="Z6" s="23">
        <f t="shared" si="8"/>
        <v>5.6368331909179687</v>
      </c>
      <c r="AA6" s="25" t="str">
        <f t="shared" si="9"/>
        <v>Pass</v>
      </c>
    </row>
    <row r="7" spans="1:29" ht="15" customHeight="1" x14ac:dyDescent="0.25">
      <c r="A7" s="15">
        <f>'Raw Data &amp; Analysis Setup'!A7</f>
        <v>6</v>
      </c>
      <c r="B7" s="56">
        <f>IF(AND(ISNUMBER('Raw Data &amp; Analysis Setup'!B7),'Raw Data &amp; Analysis Setup'!B7&gt;0),'Raw Data &amp; Analysis Setup'!B7,"")</f>
        <v>29.849000930786133</v>
      </c>
      <c r="C7" s="20" t="s">
        <v>13</v>
      </c>
      <c r="D7" s="20">
        <v>72</v>
      </c>
      <c r="E7" s="20" t="s">
        <v>27</v>
      </c>
      <c r="F7" s="138"/>
      <c r="G7" s="138"/>
      <c r="H7" s="136"/>
      <c r="I7" s="137"/>
      <c r="J7" s="136"/>
      <c r="K7" s="136"/>
      <c r="M7" s="16" t="s">
        <v>17</v>
      </c>
      <c r="N7" s="23">
        <f t="shared" si="0"/>
        <v>6.2803338368733712</v>
      </c>
      <c r="O7" s="23">
        <f t="shared" si="1"/>
        <v>10.55366643269857</v>
      </c>
      <c r="P7" s="23">
        <f t="shared" si="2"/>
        <v>4.2733325958251987E-2</v>
      </c>
      <c r="Q7" s="23">
        <f t="shared" si="10"/>
        <v>8.4170001347859706</v>
      </c>
      <c r="R7" s="13">
        <f t="shared" si="6"/>
        <v>1.4628523383544131E-2</v>
      </c>
      <c r="S7" s="25">
        <f t="shared" si="7"/>
        <v>6</v>
      </c>
      <c r="T7" s="70">
        <f>IF(ISNUMBER('Raw Data &amp; Analysis Setup'!J6), IF(Calculation!P7&lt;0.04, 40/'Raw Data &amp; Analysis Setup'!J6, IF(Calculation!Q7&lt;=9, 120/'Raw Data &amp; Analysis Setup'!J6, "")), "")</f>
        <v>13.333333333333334</v>
      </c>
      <c r="U7" s="70">
        <f>IF(ISNUMBER('Raw Data &amp; Analysis Setup'!J6), IF(Calculation!P7&lt;0.04, 100/'Raw Data &amp; Analysis Setup'!J6, IF(Calculation!Q7&lt;=9, 250/'Raw Data &amp; Analysis Setup'!J6, "")), "")</f>
        <v>27.777777777777779</v>
      </c>
      <c r="W7" s="24" t="str">
        <f t="shared" si="3"/>
        <v>S5</v>
      </c>
      <c r="X7" s="26">
        <f t="shared" si="4"/>
        <v>24.8836669921875</v>
      </c>
      <c r="Y7" s="26">
        <f t="shared" si="5"/>
        <v>29.749666849772137</v>
      </c>
      <c r="Z7" s="23">
        <f t="shared" si="8"/>
        <v>4.8659998575846366</v>
      </c>
      <c r="AA7" s="25" t="str">
        <f t="shared" si="9"/>
        <v>Pass</v>
      </c>
    </row>
    <row r="8" spans="1:29" ht="15" customHeight="1" x14ac:dyDescent="0.25">
      <c r="A8" s="15">
        <f>'Raw Data &amp; Analysis Setup'!A8</f>
        <v>7</v>
      </c>
      <c r="B8" s="56">
        <f>IF(AND(ISNUMBER('Raw Data &amp; Analysis Setup'!B8),'Raw Data &amp; Analysis Setup'!B8&gt;0),'Raw Data &amp; Analysis Setup'!B8,"")</f>
        <v>19.319000244140625</v>
      </c>
      <c r="C8" s="57" t="s">
        <v>14</v>
      </c>
      <c r="D8" s="20">
        <v>67</v>
      </c>
      <c r="E8" s="20" t="s">
        <v>26</v>
      </c>
      <c r="F8" s="138">
        <v>100</v>
      </c>
      <c r="G8" s="139" t="s">
        <v>45</v>
      </c>
      <c r="H8" s="136">
        <f>IF(SUM(B8:B10)&gt;0,AVERAGE(B8:B10),"")</f>
        <v>19.319333394368488</v>
      </c>
      <c r="I8" s="137">
        <f>IF(SUM(B8:B10)&gt;0,STDEV(B8:B10),0)</f>
        <v>1.2504091965198808E-2</v>
      </c>
      <c r="J8" s="136">
        <f>IF(H8&lt;&gt;"",IF(VLOOKUP(D8,$A$2:$H$73,8,FALSE)&gt;0,VLOOKUP(D8,$A$2:$H$73,8,FALSE),""),"")</f>
        <v>18.603333155314129</v>
      </c>
      <c r="K8" s="136">
        <f>IF(ISNUMBER(H8),H8-J8,"")</f>
        <v>0.71600023905435961</v>
      </c>
      <c r="M8" s="16" t="s">
        <v>18</v>
      </c>
      <c r="N8" s="23">
        <f t="shared" si="0"/>
        <v>-0.55399958292643348</v>
      </c>
      <c r="O8" s="23">
        <f t="shared" si="1"/>
        <v>1.1846663157145194</v>
      </c>
      <c r="P8" s="23">
        <f t="shared" si="2"/>
        <v>1.738665898640953E-2</v>
      </c>
      <c r="Q8" s="23">
        <f t="shared" si="10"/>
        <v>0.31533336639404297</v>
      </c>
      <c r="R8" s="13">
        <f t="shared" si="6"/>
        <v>4.0183263238253586</v>
      </c>
      <c r="S8" s="25">
        <f t="shared" si="7"/>
        <v>6</v>
      </c>
      <c r="T8" s="70">
        <f>IF(ISNUMBER('Raw Data &amp; Analysis Setup'!J7), IF(Calculation!P8&lt;0.04, 40/'Raw Data &amp; Analysis Setup'!J7, IF(Calculation!Q8&lt;=9, 120/'Raw Data &amp; Analysis Setup'!J7, "")), "")</f>
        <v>1.2903225806451613</v>
      </c>
      <c r="U8" s="70">
        <f>IF(ISNUMBER('Raw Data &amp; Analysis Setup'!J7), IF(Calculation!P8&lt;0.04, 100/'Raw Data &amp; Analysis Setup'!J7, IF(Calculation!Q8&lt;=9, 250/'Raw Data &amp; Analysis Setup'!J7, "")), "")</f>
        <v>3.225806451612903</v>
      </c>
      <c r="W8" s="24" t="str">
        <f t="shared" si="3"/>
        <v>S6</v>
      </c>
      <c r="X8" s="26">
        <f t="shared" si="4"/>
        <v>18.049333572387695</v>
      </c>
      <c r="Y8" s="26">
        <f t="shared" si="5"/>
        <v>20.380666732788086</v>
      </c>
      <c r="Z8" s="23">
        <f t="shared" si="8"/>
        <v>2.3313331604003906</v>
      </c>
      <c r="AA8" s="25" t="str">
        <f t="shared" si="9"/>
        <v>Pass</v>
      </c>
    </row>
    <row r="9" spans="1:29" ht="15" customHeight="1" x14ac:dyDescent="0.25">
      <c r="A9" s="15">
        <f>'Raw Data &amp; Analysis Setup'!A9</f>
        <v>8</v>
      </c>
      <c r="B9" s="56">
        <f>IF(AND(ISNUMBER('Raw Data &amp; Analysis Setup'!B9),'Raw Data &amp; Analysis Setup'!B9&gt;0),'Raw Data &amp; Analysis Setup'!B9,"")</f>
        <v>19.332000732421875</v>
      </c>
      <c r="C9" s="57" t="s">
        <v>14</v>
      </c>
      <c r="D9" s="20">
        <v>68</v>
      </c>
      <c r="E9" s="20" t="s">
        <v>26</v>
      </c>
      <c r="F9" s="138"/>
      <c r="G9" s="138"/>
      <c r="H9" s="136"/>
      <c r="I9" s="137"/>
      <c r="J9" s="136"/>
      <c r="K9" s="136"/>
      <c r="M9" s="16" t="s">
        <v>19</v>
      </c>
      <c r="N9" s="23">
        <f t="shared" si="0"/>
        <v>-0.82500012715657789</v>
      </c>
      <c r="O9" s="23">
        <f t="shared" si="1"/>
        <v>0.35933303833007813</v>
      </c>
      <c r="P9" s="23">
        <f t="shared" si="2"/>
        <v>1.1843331654866561E-2</v>
      </c>
      <c r="Q9" s="23">
        <f t="shared" si="10"/>
        <v>-0.23283354441324988</v>
      </c>
      <c r="R9" s="13">
        <f t="shared" si="6"/>
        <v>5.8757036747532467</v>
      </c>
      <c r="S9" s="25">
        <f t="shared" si="7"/>
        <v>6</v>
      </c>
      <c r="T9" s="70">
        <f>IF(ISNUMBER('Raw Data &amp; Analysis Setup'!J8), IF(Calculation!P9&lt;0.04, 40/'Raw Data &amp; Analysis Setup'!J8, IF(Calculation!Q9&lt;=9, 120/'Raw Data &amp; Analysis Setup'!J8, "")), "")</f>
        <v>1.8181818181818181</v>
      </c>
      <c r="U9" s="70">
        <f>IF(ISNUMBER('Raw Data &amp; Analysis Setup'!J8), IF(Calculation!P9&lt;0.04, 100/'Raw Data &amp; Analysis Setup'!J8, IF(Calculation!Q9&lt;=9, 250/'Raw Data &amp; Analysis Setup'!J8, "")), "")</f>
        <v>4.5454545454545459</v>
      </c>
      <c r="W9" s="24" t="str">
        <f t="shared" si="3"/>
        <v>S7</v>
      </c>
      <c r="X9" s="26">
        <f t="shared" si="4"/>
        <v>17.778333028157551</v>
      </c>
      <c r="Y9" s="26">
        <f t="shared" si="5"/>
        <v>19.555333455403645</v>
      </c>
      <c r="Z9" s="23">
        <f t="shared" si="8"/>
        <v>1.7770004272460938</v>
      </c>
      <c r="AA9" s="25" t="str">
        <f t="shared" si="9"/>
        <v>Pass</v>
      </c>
    </row>
    <row r="10" spans="1:29" ht="15" customHeight="1" x14ac:dyDescent="0.25">
      <c r="A10" s="15">
        <f>'Raw Data &amp; Analysis Setup'!A10</f>
        <v>9</v>
      </c>
      <c r="B10" s="56">
        <f>IF(AND(ISNUMBER('Raw Data &amp; Analysis Setup'!B10),'Raw Data &amp; Analysis Setup'!B10&gt;0),'Raw Data &amp; Analysis Setup'!B10,"")</f>
        <v>19.306999206542969</v>
      </c>
      <c r="C10" s="57" t="s">
        <v>14</v>
      </c>
      <c r="D10" s="20">
        <v>69</v>
      </c>
      <c r="E10" s="20" t="s">
        <v>26</v>
      </c>
      <c r="F10" s="138"/>
      <c r="G10" s="138"/>
      <c r="H10" s="136"/>
      <c r="I10" s="137"/>
      <c r="J10" s="136"/>
      <c r="K10" s="136"/>
      <c r="M10" s="16" t="s">
        <v>20</v>
      </c>
      <c r="N10" s="23">
        <f t="shared" si="0"/>
        <v>-2.254666646321617</v>
      </c>
      <c r="O10" s="23">
        <f t="shared" si="1"/>
        <v>-1.5560003916422502</v>
      </c>
      <c r="P10" s="23">
        <f t="shared" si="2"/>
        <v>6.986662546793667E-3</v>
      </c>
      <c r="Q10" s="23">
        <f t="shared" si="10"/>
        <v>-1.9053335189819336</v>
      </c>
      <c r="R10" s="13">
        <f t="shared" si="6"/>
        <v>18.729774355182776</v>
      </c>
      <c r="S10" s="25">
        <f t="shared" si="7"/>
        <v>6</v>
      </c>
      <c r="T10" s="70">
        <f>IF(ISNUMBER('Raw Data &amp; Analysis Setup'!J9), IF(Calculation!P10&lt;0.04, 40/'Raw Data &amp; Analysis Setup'!J9, IF(Calculation!Q10&lt;=9, 120/'Raw Data &amp; Analysis Setup'!J9, "")), "")</f>
        <v>0.76923076923076927</v>
      </c>
      <c r="U10" s="70">
        <f>IF(ISNUMBER('Raw Data &amp; Analysis Setup'!J9), IF(Calculation!P10&lt;0.04, 100/'Raw Data &amp; Analysis Setup'!J9, IF(Calculation!Q10&lt;=9, 250/'Raw Data &amp; Analysis Setup'!J9, "")), "")</f>
        <v>1.9230769230769231</v>
      </c>
      <c r="W10" s="24" t="str">
        <f t="shared" si="3"/>
        <v>S8</v>
      </c>
      <c r="X10" s="26">
        <f t="shared" si="4"/>
        <v>16.348666508992512</v>
      </c>
      <c r="Y10" s="26">
        <f t="shared" si="5"/>
        <v>17.640000025431316</v>
      </c>
      <c r="Z10" s="23">
        <f t="shared" si="8"/>
        <v>1.2913335164388045</v>
      </c>
      <c r="AA10" s="25" t="str">
        <f t="shared" si="9"/>
        <v>Pass</v>
      </c>
    </row>
    <row r="11" spans="1:29" ht="15" customHeight="1" x14ac:dyDescent="0.25">
      <c r="A11" s="15">
        <f>'Raw Data &amp; Analysis Setup'!A11</f>
        <v>10</v>
      </c>
      <c r="B11" s="56">
        <f>IF(AND(ISNUMBER('Raw Data &amp; Analysis Setup'!B11),'Raw Data &amp; Analysis Setup'!B11&gt;0),'Raw Data &amp; Analysis Setup'!B11,"")</f>
        <v>22.250999450683594</v>
      </c>
      <c r="C11" s="57" t="s">
        <v>14</v>
      </c>
      <c r="D11" s="20">
        <v>70</v>
      </c>
      <c r="E11" s="20" t="s">
        <v>27</v>
      </c>
      <c r="F11" s="138">
        <v>200</v>
      </c>
      <c r="G11" s="139" t="s">
        <v>47</v>
      </c>
      <c r="H11" s="136">
        <f>IF(SUM(B11:B13)&gt;0,AVERAGE(B11:B13),"")</f>
        <v>22.245333353678387</v>
      </c>
      <c r="I11" s="137">
        <f>IF(SUM(B11:B13)&gt;0,STDEV(B11:B13),0)</f>
        <v>5.5073734236591046E-3</v>
      </c>
      <c r="J11" s="136">
        <f>IF(H11&lt;&gt;"",IF(VLOOKUP(D11,$A$2:$H$73,8,FALSE)&gt;0,VLOOKUP(D11,$A$2:$H$73,8,FALSE),""),"")</f>
        <v>19.196000417073567</v>
      </c>
      <c r="K11" s="136">
        <f>IF(ISNUMBER(H11),H11-J11,"")</f>
        <v>3.0493329366048201</v>
      </c>
      <c r="M11" s="16" t="s">
        <v>21</v>
      </c>
      <c r="N11" s="23">
        <f t="shared" si="0"/>
        <v>1.0410003662109375</v>
      </c>
      <c r="O11" s="23">
        <f t="shared" si="1"/>
        <v>3.3729998270670585</v>
      </c>
      <c r="P11" s="23">
        <f t="shared" si="2"/>
        <v>2.3319994608561212E-2</v>
      </c>
      <c r="Q11" s="23">
        <f t="shared" si="10"/>
        <v>2.207000096638998</v>
      </c>
      <c r="R11" s="13">
        <f t="shared" si="6"/>
        <v>1.0829209979605907</v>
      </c>
      <c r="S11" s="25">
        <f t="shared" si="7"/>
        <v>6</v>
      </c>
      <c r="T11" s="70">
        <f>IF(ISNUMBER('Raw Data &amp; Analysis Setup'!J10), IF(Calculation!P11&lt;0.04, 40/'Raw Data &amp; Analysis Setup'!J10, IF(Calculation!Q11&lt;=9, 120/'Raw Data &amp; Analysis Setup'!J10, "")), "")</f>
        <v>2.8571428571428572</v>
      </c>
      <c r="U11" s="70">
        <f>IF(ISNUMBER('Raw Data &amp; Analysis Setup'!J10), IF(Calculation!P11&lt;0.04, 100/'Raw Data &amp; Analysis Setup'!J10, IF(Calculation!Q11&lt;=9, 250/'Raw Data &amp; Analysis Setup'!J10, "")), "")</f>
        <v>7.1428571428571432</v>
      </c>
      <c r="W11" s="24" t="str">
        <f t="shared" si="3"/>
        <v>S9</v>
      </c>
      <c r="X11" s="26">
        <f t="shared" si="4"/>
        <v>19.644333521525066</v>
      </c>
      <c r="Y11" s="26">
        <f t="shared" si="5"/>
        <v>22.569000244140625</v>
      </c>
      <c r="Z11" s="23">
        <f t="shared" si="8"/>
        <v>2.9246667226155587</v>
      </c>
      <c r="AA11" s="25" t="str">
        <f t="shared" si="9"/>
        <v>Pass</v>
      </c>
    </row>
    <row r="12" spans="1:29" ht="15" customHeight="1" x14ac:dyDescent="0.25">
      <c r="A12" s="15">
        <f>'Raw Data &amp; Analysis Setup'!A12</f>
        <v>11</v>
      </c>
      <c r="B12" s="56">
        <f>IF(AND(ISNUMBER('Raw Data &amp; Analysis Setup'!B12),'Raw Data &amp; Analysis Setup'!B12&gt;0),'Raw Data &amp; Analysis Setup'!B12,"")</f>
        <v>22.239999771118164</v>
      </c>
      <c r="C12" s="57" t="s">
        <v>14</v>
      </c>
      <c r="D12" s="20">
        <v>71</v>
      </c>
      <c r="E12" s="20" t="s">
        <v>27</v>
      </c>
      <c r="F12" s="138"/>
      <c r="G12" s="138"/>
      <c r="H12" s="136"/>
      <c r="I12" s="137"/>
      <c r="J12" s="136"/>
      <c r="K12" s="136"/>
      <c r="M12" s="16" t="s">
        <v>22</v>
      </c>
      <c r="N12" s="23">
        <f t="shared" si="0"/>
        <v>2.4286664326985665</v>
      </c>
      <c r="O12" s="23">
        <f t="shared" si="1"/>
        <v>4.8056666056315116</v>
      </c>
      <c r="P12" s="23">
        <f t="shared" si="2"/>
        <v>2.377000172932945E-2</v>
      </c>
      <c r="Q12" s="23">
        <f t="shared" si="10"/>
        <v>3.6171665191650391</v>
      </c>
      <c r="R12" s="13">
        <f t="shared" si="6"/>
        <v>0.40746882106965165</v>
      </c>
      <c r="S12" s="25">
        <f t="shared" si="7"/>
        <v>6</v>
      </c>
      <c r="T12" s="70">
        <f>IF(ISNUMBER('Raw Data &amp; Analysis Setup'!J11), IF(Calculation!P12&lt;0.04, 40/'Raw Data &amp; Analysis Setup'!J11, IF(Calculation!Q12&lt;=9, 120/'Raw Data &amp; Analysis Setup'!J11, "")), "")</f>
        <v>8</v>
      </c>
      <c r="U12" s="70">
        <f>IF(ISNUMBER('Raw Data &amp; Analysis Setup'!J11), IF(Calculation!P12&lt;0.04, 100/'Raw Data &amp; Analysis Setup'!J11, IF(Calculation!Q12&lt;=9, 250/'Raw Data &amp; Analysis Setup'!J11, "")), "")</f>
        <v>20</v>
      </c>
      <c r="W12" s="24" t="str">
        <f t="shared" si="3"/>
        <v>S10</v>
      </c>
      <c r="X12" s="26">
        <f t="shared" si="4"/>
        <v>21.031999588012695</v>
      </c>
      <c r="Y12" s="26">
        <f t="shared" si="5"/>
        <v>24.001667022705078</v>
      </c>
      <c r="Z12" s="23">
        <f t="shared" si="8"/>
        <v>2.9696674346923828</v>
      </c>
      <c r="AA12" s="25" t="str">
        <f t="shared" si="9"/>
        <v>Pass</v>
      </c>
    </row>
    <row r="13" spans="1:29" ht="15" customHeight="1" x14ac:dyDescent="0.25">
      <c r="A13" s="15">
        <f>'Raw Data &amp; Analysis Setup'!A13</f>
        <v>12</v>
      </c>
      <c r="B13" s="56">
        <f>IF(AND(ISNUMBER('Raw Data &amp; Analysis Setup'!B13),'Raw Data &amp; Analysis Setup'!B13&gt;0),'Raw Data &amp; Analysis Setup'!B13,"")</f>
        <v>22.245000839233398</v>
      </c>
      <c r="C13" s="57" t="s">
        <v>14</v>
      </c>
      <c r="D13" s="20">
        <v>72</v>
      </c>
      <c r="E13" s="20" t="s">
        <v>27</v>
      </c>
      <c r="F13" s="138"/>
      <c r="G13" s="138"/>
      <c r="H13" s="136"/>
      <c r="I13" s="137"/>
      <c r="J13" s="136"/>
      <c r="K13" s="136"/>
      <c r="M13" s="16" t="s">
        <v>23</v>
      </c>
      <c r="N13" s="23">
        <f t="shared" si="0"/>
        <v>2.6726665496826172</v>
      </c>
      <c r="O13" s="23">
        <f t="shared" si="1"/>
        <v>6.0276660919189453</v>
      </c>
      <c r="P13" s="23">
        <f t="shared" si="2"/>
        <v>3.3549995422363282E-2</v>
      </c>
      <c r="Q13" s="23">
        <f t="shared" si="10"/>
        <v>4.3501663208007812</v>
      </c>
      <c r="R13" s="13">
        <f t="shared" si="6"/>
        <v>0.24515426640441779</v>
      </c>
      <c r="S13" s="25">
        <f t="shared" si="7"/>
        <v>6</v>
      </c>
      <c r="T13" s="70">
        <f>IF(ISNUMBER('Raw Data &amp; Analysis Setup'!J12), IF(Calculation!P13&lt;0.04, 40/'Raw Data &amp; Analysis Setup'!J12, IF(Calculation!Q13&lt;=9, 120/'Raw Data &amp; Analysis Setup'!J12, "")), "")</f>
        <v>3.6363636363636362</v>
      </c>
      <c r="U13" s="70">
        <f>IF(ISNUMBER('Raw Data &amp; Analysis Setup'!J12), IF(Calculation!P13&lt;0.04, 100/'Raw Data &amp; Analysis Setup'!J12, IF(Calculation!Q13&lt;=9, 250/'Raw Data &amp; Analysis Setup'!J12, "")), "")</f>
        <v>9.0909090909090917</v>
      </c>
      <c r="W13" s="24" t="str">
        <f t="shared" si="3"/>
        <v>S11</v>
      </c>
      <c r="X13" s="26">
        <f t="shared" si="4"/>
        <v>21.275999704996746</v>
      </c>
      <c r="Y13" s="26">
        <f t="shared" si="5"/>
        <v>25.223666508992512</v>
      </c>
      <c r="Z13" s="23">
        <f t="shared" si="8"/>
        <v>3.9476668039957659</v>
      </c>
      <c r="AA13" s="25" t="str">
        <f t="shared" si="9"/>
        <v>Pass</v>
      </c>
    </row>
    <row r="14" spans="1:29" ht="15" customHeight="1" x14ac:dyDescent="0.25">
      <c r="A14" s="15">
        <f>'Raw Data &amp; Analysis Setup'!A14</f>
        <v>13</v>
      </c>
      <c r="B14" s="56">
        <f>IF(AND(ISNUMBER('Raw Data &amp; Analysis Setup'!B14),'Raw Data &amp; Analysis Setup'!B14&gt;0),'Raw Data &amp; Analysis Setup'!B14,"")</f>
        <v>18.197999954223633</v>
      </c>
      <c r="C14" s="57" t="s">
        <v>15</v>
      </c>
      <c r="D14" s="20">
        <v>67</v>
      </c>
      <c r="E14" s="20" t="s">
        <v>26</v>
      </c>
      <c r="F14" s="138">
        <v>100</v>
      </c>
      <c r="G14" s="139" t="s">
        <v>49</v>
      </c>
      <c r="H14" s="136">
        <f>IF(SUM(B14:B16)&gt;0,AVERAGE(B14:B16),"")</f>
        <v>18.189333597819012</v>
      </c>
      <c r="I14" s="137">
        <f>IF(SUM(B14:B16)&gt;0,STDEV(B14:B16),0)</f>
        <v>2.9955728546628691E-2</v>
      </c>
      <c r="J14" s="136">
        <f>IF(H14&lt;&gt;"",IF(VLOOKUP(D14,$A$2:$H$73,8,FALSE)&gt;0,VLOOKUP(D14,$A$2:$H$73,8,FALSE),""),"")</f>
        <v>18.603333155314129</v>
      </c>
      <c r="K14" s="136">
        <f>IF(ISNUMBER(H14),H14-J14,"")</f>
        <v>-0.41399955749511719</v>
      </c>
      <c r="M14" s="16" t="str">
        <f>'Raw Data &amp; Analysis Setup'!I13</f>
        <v>Control</v>
      </c>
      <c r="N14" s="23">
        <f t="shared" si="0"/>
        <v>0</v>
      </c>
      <c r="O14" s="23">
        <f t="shared" si="1"/>
        <v>0</v>
      </c>
      <c r="P14" s="23">
        <f t="shared" si="2"/>
        <v>0</v>
      </c>
      <c r="Q14" s="23">
        <f t="shared" si="10"/>
        <v>0</v>
      </c>
      <c r="R14" s="13">
        <f>IF(ISNUMBER(Q14),1/2^Q14*5,"")</f>
        <v>5</v>
      </c>
      <c r="S14" s="25">
        <f t="shared" si="7"/>
        <v>0</v>
      </c>
      <c r="T14" s="70" t="str">
        <f>IF(ISNUMBER('Raw Data &amp; Analysis Setup'!J13), IF(Calculation!P14&lt;0.04, 40/'Raw Data &amp; Analysis Setup'!J13, IF(Calculation!Q14&lt;=9, 120/'Raw Data &amp; Analysis Setup'!J13, "")), "")</f>
        <v/>
      </c>
      <c r="U14" s="70" t="str">
        <f>IF(ISNUMBER('Raw Data &amp; Analysis Setup'!J13), IF(Calculation!P14&lt;0.04, 100/'Raw Data &amp; Analysis Setup'!J13, IF(Calculation!Q14&lt;=9, 250/'Raw Data &amp; Analysis Setup'!J13, "")), "")</f>
        <v/>
      </c>
      <c r="W14" s="24" t="str">
        <f>M14</f>
        <v>Control</v>
      </c>
      <c r="X14" s="26">
        <f t="shared" si="4"/>
        <v>18.603333155314129</v>
      </c>
      <c r="Y14" s="26">
        <f t="shared" si="5"/>
        <v>19.196000417073567</v>
      </c>
      <c r="Z14" s="23">
        <f t="shared" si="8"/>
        <v>0.59266726175943774</v>
      </c>
      <c r="AA14" s="25" t="str">
        <f>IF(ISNUMBER(Z14),IF(AND(Z14&gt;-1.5,Z14&lt;1.5),"Pass","Fail"),"")</f>
        <v>Pass</v>
      </c>
    </row>
    <row r="15" spans="1:29" ht="15" customHeight="1" x14ac:dyDescent="0.25">
      <c r="A15" s="15">
        <f>'Raw Data &amp; Analysis Setup'!A15</f>
        <v>14</v>
      </c>
      <c r="B15" s="56">
        <f>IF(AND(ISNUMBER('Raw Data &amp; Analysis Setup'!B15),'Raw Data &amp; Analysis Setup'!B15&gt;0),'Raw Data &amp; Analysis Setup'!B15,"")</f>
        <v>18.156000137329102</v>
      </c>
      <c r="C15" s="57" t="s">
        <v>15</v>
      </c>
      <c r="D15" s="20">
        <v>68</v>
      </c>
      <c r="E15" s="20" t="s">
        <v>26</v>
      </c>
      <c r="F15" s="138"/>
      <c r="G15" s="138"/>
      <c r="H15" s="136"/>
      <c r="I15" s="137"/>
      <c r="J15" s="136"/>
      <c r="K15" s="136"/>
      <c r="Q15" s="3"/>
      <c r="R15" s="1"/>
    </row>
    <row r="16" spans="1:29" ht="15" customHeight="1" x14ac:dyDescent="0.25">
      <c r="A16" s="15">
        <f>'Raw Data &amp; Analysis Setup'!A16</f>
        <v>15</v>
      </c>
      <c r="B16" s="56">
        <f>IF(AND(ISNUMBER('Raw Data &amp; Analysis Setup'!B16),'Raw Data &amp; Analysis Setup'!B16&gt;0),'Raw Data &amp; Analysis Setup'!B16,"")</f>
        <v>18.214000701904297</v>
      </c>
      <c r="C16" s="57" t="s">
        <v>15</v>
      </c>
      <c r="D16" s="20">
        <v>69</v>
      </c>
      <c r="E16" s="20" t="s">
        <v>26</v>
      </c>
      <c r="F16" s="138"/>
      <c r="G16" s="138"/>
      <c r="H16" s="136"/>
      <c r="I16" s="137"/>
      <c r="J16" s="136"/>
      <c r="K16" s="136"/>
      <c r="Q16" s="127" t="s">
        <v>91</v>
      </c>
      <c r="R16" s="128"/>
      <c r="S16" s="128"/>
      <c r="T16" s="128"/>
      <c r="U16" s="129"/>
    </row>
    <row r="17" spans="1:21" ht="15" customHeight="1" x14ac:dyDescent="0.25">
      <c r="A17" s="15">
        <f>'Raw Data &amp; Analysis Setup'!A17</f>
        <v>16</v>
      </c>
      <c r="B17" s="56">
        <f>IF(AND(ISNUMBER('Raw Data &amp; Analysis Setup'!B17),'Raw Data &amp; Analysis Setup'!B17&gt;0),'Raw Data &amp; Analysis Setup'!B17,"")</f>
        <v>20.559000015258789</v>
      </c>
      <c r="C17" s="57" t="s">
        <v>15</v>
      </c>
      <c r="D17" s="20">
        <v>70</v>
      </c>
      <c r="E17" s="20" t="s">
        <v>27</v>
      </c>
      <c r="F17" s="138">
        <v>200</v>
      </c>
      <c r="G17" s="139" t="s">
        <v>51</v>
      </c>
      <c r="H17" s="136">
        <f>IF(SUM(B17:B19)&gt;0,AVERAGE(B17:B19),"")</f>
        <v>20.58500035603841</v>
      </c>
      <c r="I17" s="137">
        <f>IF(SUM(B17:B19)&gt;0,STDEV(B17:B19),0)</f>
        <v>3.2186991332395568E-2</v>
      </c>
      <c r="J17" s="136">
        <f>IF(H17&lt;&gt;"",IF(VLOOKUP(D17,$A$2:$H$73,8,FALSE)&gt;0,VLOOKUP(D17,$A$2:$H$73,8,FALSE),""),"")</f>
        <v>19.196000417073567</v>
      </c>
      <c r="K17" s="136">
        <f>IF(ISNUMBER(H17),H17-J17,"")</f>
        <v>1.3889999389648437</v>
      </c>
      <c r="Q17" s="130" t="s">
        <v>92</v>
      </c>
      <c r="R17" s="131"/>
      <c r="S17" s="131"/>
      <c r="T17" s="131"/>
      <c r="U17" s="132"/>
    </row>
    <row r="18" spans="1:21" ht="15" customHeight="1" x14ac:dyDescent="0.25">
      <c r="A18" s="15">
        <f>'Raw Data &amp; Analysis Setup'!A18</f>
        <v>17</v>
      </c>
      <c r="B18" s="56">
        <f>IF(AND(ISNUMBER('Raw Data &amp; Analysis Setup'!B18),'Raw Data &amp; Analysis Setup'!B18&gt;0),'Raw Data &amp; Analysis Setup'!B18,"")</f>
        <v>20.575000762939453</v>
      </c>
      <c r="C18" s="57" t="s">
        <v>15</v>
      </c>
      <c r="D18" s="20">
        <v>71</v>
      </c>
      <c r="E18" s="20" t="s">
        <v>27</v>
      </c>
      <c r="F18" s="138"/>
      <c r="G18" s="138"/>
      <c r="H18" s="136"/>
      <c r="I18" s="137"/>
      <c r="J18" s="136"/>
      <c r="K18" s="136"/>
      <c r="Q18" s="133" t="s">
        <v>93</v>
      </c>
      <c r="R18" s="134"/>
      <c r="S18" s="134"/>
      <c r="T18" s="134"/>
      <c r="U18" s="135"/>
    </row>
    <row r="19" spans="1:21" ht="15" customHeight="1" x14ac:dyDescent="0.25">
      <c r="A19" s="15">
        <f>'Raw Data &amp; Analysis Setup'!A19</f>
        <v>18</v>
      </c>
      <c r="B19" s="56">
        <f>IF(AND(ISNUMBER('Raw Data &amp; Analysis Setup'!B19),'Raw Data &amp; Analysis Setup'!B19&gt;0),'Raw Data &amp; Analysis Setup'!B19,"")</f>
        <v>20.621000289916992</v>
      </c>
      <c r="C19" s="57" t="s">
        <v>15</v>
      </c>
      <c r="D19" s="20">
        <v>72</v>
      </c>
      <c r="E19" s="20" t="s">
        <v>27</v>
      </c>
      <c r="F19" s="138"/>
      <c r="G19" s="138"/>
      <c r="H19" s="136"/>
      <c r="I19" s="137"/>
      <c r="J19" s="136"/>
      <c r="K19" s="136"/>
      <c r="R19" s="52"/>
      <c r="U19" s="52"/>
    </row>
    <row r="20" spans="1:21" ht="15" customHeight="1" x14ac:dyDescent="0.25">
      <c r="A20" s="15">
        <f>'Raw Data &amp; Analysis Setup'!A20</f>
        <v>19</v>
      </c>
      <c r="B20" s="56">
        <f>IF(AND(ISNUMBER('Raw Data &amp; Analysis Setup'!B20),'Raw Data &amp; Analysis Setup'!B20&gt;0),'Raw Data &amp; Analysis Setup'!B20,"")</f>
        <v>25.905000686645508</v>
      </c>
      <c r="C20" s="57" t="s">
        <v>16</v>
      </c>
      <c r="D20" s="20">
        <v>67</v>
      </c>
      <c r="E20" s="20" t="s">
        <v>26</v>
      </c>
      <c r="F20" s="138">
        <v>100</v>
      </c>
      <c r="G20" s="139" t="s">
        <v>53</v>
      </c>
      <c r="H20" s="136">
        <f t="shared" ref="H20" si="11">IF(SUM(B20:B22)&gt;0,AVERAGE(B20:B22),"")</f>
        <v>25.848667144775391</v>
      </c>
      <c r="I20" s="137">
        <f t="shared" ref="I20" si="12">IF(SUM(B20:B22)&gt;0,STDEV(B20:B22),0)</f>
        <v>5.8620545132811994E-2</v>
      </c>
      <c r="J20" s="136">
        <f>IF(H20&lt;&gt;"",IF(VLOOKUP(D20,$A$2:$H$73,8,FALSE)&gt;0,VLOOKUP(D20,$A$2:$H$73,8,FALSE),""),"")</f>
        <v>18.603333155314129</v>
      </c>
      <c r="K20" s="136">
        <f>IF(ISNUMBER(H20),H20-J20,"")</f>
        <v>7.2453339894612618</v>
      </c>
      <c r="R20" s="52"/>
      <c r="U20" s="52"/>
    </row>
    <row r="21" spans="1:21" ht="15" customHeight="1" x14ac:dyDescent="0.25">
      <c r="A21" s="15">
        <f>'Raw Data &amp; Analysis Setup'!A21</f>
        <v>20</v>
      </c>
      <c r="B21" s="56">
        <f>IF(AND(ISNUMBER('Raw Data &amp; Analysis Setup'!B21),'Raw Data &amp; Analysis Setup'!B21&gt;0),'Raw Data &amp; Analysis Setup'!B21,"")</f>
        <v>25.788000106811523</v>
      </c>
      <c r="C21" s="57" t="s">
        <v>16</v>
      </c>
      <c r="D21" s="20">
        <v>68</v>
      </c>
      <c r="E21" s="20" t="s">
        <v>26</v>
      </c>
      <c r="F21" s="138"/>
      <c r="G21" s="138"/>
      <c r="H21" s="136"/>
      <c r="I21" s="137"/>
      <c r="J21" s="136"/>
      <c r="K21" s="136"/>
      <c r="R21" s="52"/>
      <c r="U21" s="52"/>
    </row>
    <row r="22" spans="1:21" ht="15" customHeight="1" x14ac:dyDescent="0.25">
      <c r="A22" s="15">
        <f>'Raw Data &amp; Analysis Setup'!A22</f>
        <v>21</v>
      </c>
      <c r="B22" s="56">
        <f>IF(AND(ISNUMBER('Raw Data &amp; Analysis Setup'!B22),'Raw Data &amp; Analysis Setup'!B22&gt;0),'Raw Data &amp; Analysis Setup'!B22,"")</f>
        <v>25.853000640869141</v>
      </c>
      <c r="C22" s="57" t="s">
        <v>16</v>
      </c>
      <c r="D22" s="20">
        <v>69</v>
      </c>
      <c r="E22" s="20" t="s">
        <v>26</v>
      </c>
      <c r="F22" s="138"/>
      <c r="G22" s="138"/>
      <c r="H22" s="136"/>
      <c r="I22" s="137"/>
      <c r="J22" s="136"/>
      <c r="K22" s="136"/>
      <c r="R22" s="52"/>
      <c r="U22" s="52"/>
    </row>
    <row r="23" spans="1:21" ht="15" customHeight="1" x14ac:dyDescent="0.25">
      <c r="A23" s="15">
        <f>'Raw Data &amp; Analysis Setup'!A23</f>
        <v>22</v>
      </c>
      <c r="B23" s="56" t="str">
        <f>IF(AND(ISNUMBER('Raw Data &amp; Analysis Setup'!B23),'Raw Data &amp; Analysis Setup'!B23&gt;0),'Raw Data &amp; Analysis Setup'!B23,"")</f>
        <v/>
      </c>
      <c r="C23" s="57" t="s">
        <v>16</v>
      </c>
      <c r="D23" s="20">
        <v>70</v>
      </c>
      <c r="E23" s="20" t="s">
        <v>27</v>
      </c>
      <c r="F23" s="138">
        <v>200</v>
      </c>
      <c r="G23" s="139" t="s">
        <v>54</v>
      </c>
      <c r="H23" s="136">
        <f t="shared" ref="H23" si="13">IF(SUM(B23:B25)&gt;0,AVERAGE(B23:B25),"")</f>
        <v>31.485500335693359</v>
      </c>
      <c r="I23" s="137">
        <f t="shared" ref="I23" si="14">IF(SUM(B23:B25)&gt;0,STDEV(B23:B25),0)</f>
        <v>0.16758396187422875</v>
      </c>
      <c r="J23" s="136">
        <f>IF(H23&lt;&gt;"",IF(VLOOKUP(D23,$A$2:$H$73,8,FALSE)&gt;0,VLOOKUP(D23,$A$2:$H$73,8,FALSE),""),"")</f>
        <v>19.196000417073567</v>
      </c>
      <c r="K23" s="136">
        <f>IF(ISNUMBER(H23),H23-J23,"")</f>
        <v>12.289499918619793</v>
      </c>
      <c r="R23" s="52"/>
      <c r="U23" s="52"/>
    </row>
    <row r="24" spans="1:21" ht="15" customHeight="1" x14ac:dyDescent="0.25">
      <c r="A24" s="15">
        <f>'Raw Data &amp; Analysis Setup'!A24</f>
        <v>23</v>
      </c>
      <c r="B24" s="56">
        <f>IF(AND(ISNUMBER('Raw Data &amp; Analysis Setup'!B24),'Raw Data &amp; Analysis Setup'!B24&gt;0),'Raw Data &amp; Analysis Setup'!B24,"")</f>
        <v>31.604000091552734</v>
      </c>
      <c r="C24" s="57" t="s">
        <v>16</v>
      </c>
      <c r="D24" s="20">
        <v>71</v>
      </c>
      <c r="E24" s="20" t="s">
        <v>27</v>
      </c>
      <c r="F24" s="138"/>
      <c r="G24" s="138"/>
      <c r="H24" s="136"/>
      <c r="I24" s="137"/>
      <c r="J24" s="136"/>
      <c r="K24" s="136"/>
      <c r="R24" s="52"/>
      <c r="U24" s="52"/>
    </row>
    <row r="25" spans="1:21" ht="15" customHeight="1" x14ac:dyDescent="0.25">
      <c r="A25" s="15">
        <f>'Raw Data &amp; Analysis Setup'!A25</f>
        <v>24</v>
      </c>
      <c r="B25" s="56">
        <f>IF(AND(ISNUMBER('Raw Data &amp; Analysis Setup'!B25),'Raw Data &amp; Analysis Setup'!B25&gt;0),'Raw Data &amp; Analysis Setup'!B25,"")</f>
        <v>31.367000579833984</v>
      </c>
      <c r="C25" s="57" t="s">
        <v>16</v>
      </c>
      <c r="D25" s="20">
        <v>72</v>
      </c>
      <c r="E25" s="20" t="s">
        <v>27</v>
      </c>
      <c r="F25" s="138"/>
      <c r="G25" s="138"/>
      <c r="H25" s="136"/>
      <c r="I25" s="137"/>
      <c r="J25" s="136"/>
      <c r="K25" s="136"/>
      <c r="R25" s="52"/>
      <c r="U25" s="52"/>
    </row>
    <row r="26" spans="1:21" ht="15" customHeight="1" x14ac:dyDescent="0.25">
      <c r="A26" s="15">
        <f>'Raw Data &amp; Analysis Setup'!A26</f>
        <v>25</v>
      </c>
      <c r="B26" s="56">
        <f>IF(AND(ISNUMBER('Raw Data &amp; Analysis Setup'!B26),'Raw Data &amp; Analysis Setup'!B26&gt;0),'Raw Data &amp; Analysis Setup'!B26,"")</f>
        <v>24.839000701904297</v>
      </c>
      <c r="C26" s="57" t="s">
        <v>17</v>
      </c>
      <c r="D26" s="20">
        <v>67</v>
      </c>
      <c r="E26" s="20" t="s">
        <v>26</v>
      </c>
      <c r="F26" s="138">
        <v>100</v>
      </c>
      <c r="G26" s="139" t="s">
        <v>55</v>
      </c>
      <c r="H26" s="136">
        <f t="shared" ref="H26" si="15">IF(SUM(B26:B28)&gt;0,AVERAGE(B26:B28),"")</f>
        <v>24.8836669921875</v>
      </c>
      <c r="I26" s="137">
        <f t="shared" ref="I26" si="16">IF(SUM(B26:B28)&gt;0,STDEV(B26:B28),0)</f>
        <v>4.0808342422823829E-2</v>
      </c>
      <c r="J26" s="136">
        <f>IF(H26&lt;&gt;"",IF(VLOOKUP(D26,$A$2:$H$73,8,FALSE)&gt;0,VLOOKUP(D26,$A$2:$H$73,8,FALSE),""),"")</f>
        <v>18.603333155314129</v>
      </c>
      <c r="K26" s="136">
        <f>IF(ISNUMBER(H26),H26-J26,"")</f>
        <v>6.2803338368733712</v>
      </c>
      <c r="R26" s="52"/>
      <c r="U26" s="52"/>
    </row>
    <row r="27" spans="1:21" ht="15" customHeight="1" x14ac:dyDescent="0.25">
      <c r="A27" s="15">
        <f>'Raw Data &amp; Analysis Setup'!A27</f>
        <v>26</v>
      </c>
      <c r="B27" s="56">
        <f>IF(AND(ISNUMBER('Raw Data &amp; Analysis Setup'!B27),'Raw Data &amp; Analysis Setup'!B27&gt;0),'Raw Data &amp; Analysis Setup'!B27,"")</f>
        <v>24.919000625610352</v>
      </c>
      <c r="C27" s="57" t="s">
        <v>17</v>
      </c>
      <c r="D27" s="20">
        <v>68</v>
      </c>
      <c r="E27" s="20" t="s">
        <v>26</v>
      </c>
      <c r="F27" s="138"/>
      <c r="G27" s="138"/>
      <c r="H27" s="136"/>
      <c r="I27" s="137"/>
      <c r="J27" s="136"/>
      <c r="K27" s="136"/>
      <c r="R27" s="52"/>
      <c r="U27" s="52"/>
    </row>
    <row r="28" spans="1:21" ht="15" customHeight="1" x14ac:dyDescent="0.25">
      <c r="A28" s="15">
        <f>'Raw Data &amp; Analysis Setup'!A28</f>
        <v>27</v>
      </c>
      <c r="B28" s="56">
        <f>IF(AND(ISNUMBER('Raw Data &amp; Analysis Setup'!B28),'Raw Data &amp; Analysis Setup'!B28&gt;0),'Raw Data &amp; Analysis Setup'!B28,"")</f>
        <v>24.892999649047852</v>
      </c>
      <c r="C28" s="57" t="s">
        <v>17</v>
      </c>
      <c r="D28" s="20">
        <v>69</v>
      </c>
      <c r="E28" s="20" t="s">
        <v>26</v>
      </c>
      <c r="F28" s="138"/>
      <c r="G28" s="138"/>
      <c r="H28" s="136"/>
      <c r="I28" s="137"/>
      <c r="J28" s="136"/>
      <c r="K28" s="136"/>
      <c r="R28" s="52"/>
      <c r="U28" s="52"/>
    </row>
    <row r="29" spans="1:21" ht="15" customHeight="1" x14ac:dyDescent="0.25">
      <c r="A29" s="15">
        <f>'Raw Data &amp; Analysis Setup'!A29</f>
        <v>28</v>
      </c>
      <c r="B29" s="56">
        <f>IF(AND(ISNUMBER('Raw Data &amp; Analysis Setup'!B29),'Raw Data &amp; Analysis Setup'!B29&gt;0),'Raw Data &amp; Analysis Setup'!B29,"")</f>
        <v>29.804000854492187</v>
      </c>
      <c r="C29" s="57" t="s">
        <v>17</v>
      </c>
      <c r="D29" s="20">
        <v>70</v>
      </c>
      <c r="E29" s="20" t="s">
        <v>27</v>
      </c>
      <c r="F29" s="138">
        <v>200</v>
      </c>
      <c r="G29" s="139" t="s">
        <v>56</v>
      </c>
      <c r="H29" s="136">
        <f t="shared" ref="H29" si="17">IF(SUM(B29:B31)&gt;0,AVERAGE(B29:B31),"")</f>
        <v>29.749666849772137</v>
      </c>
      <c r="I29" s="137">
        <f t="shared" ref="I29" si="18">IF(SUM(B29:B31)&gt;0,STDEV(B29:B31),0)</f>
        <v>0.28146131659251428</v>
      </c>
      <c r="J29" s="136">
        <f>IF(H29&lt;&gt;"",IF(VLOOKUP(D29,$A$2:$H$73,8,FALSE)&gt;0,VLOOKUP(D29,$A$2:$H$73,8,FALSE),""),"")</f>
        <v>19.196000417073567</v>
      </c>
      <c r="K29" s="136">
        <f>IF(ISNUMBER(H29),H29-J29,"")</f>
        <v>10.55366643269857</v>
      </c>
      <c r="R29" s="52"/>
      <c r="U29" s="52"/>
    </row>
    <row r="30" spans="1:21" ht="15" customHeight="1" x14ac:dyDescent="0.25">
      <c r="A30" s="15">
        <f>'Raw Data &amp; Analysis Setup'!A30</f>
        <v>29</v>
      </c>
      <c r="B30" s="56">
        <f>IF(AND(ISNUMBER('Raw Data &amp; Analysis Setup'!B30),'Raw Data &amp; Analysis Setup'!B30&gt;0),'Raw Data &amp; Analysis Setup'!B30,"")</f>
        <v>29.444999694824219</v>
      </c>
      <c r="C30" s="57" t="s">
        <v>17</v>
      </c>
      <c r="D30" s="20">
        <v>71</v>
      </c>
      <c r="E30" s="20" t="s">
        <v>27</v>
      </c>
      <c r="F30" s="138"/>
      <c r="G30" s="138"/>
      <c r="H30" s="136"/>
      <c r="I30" s="137"/>
      <c r="J30" s="136"/>
      <c r="K30" s="136"/>
      <c r="R30" s="52"/>
      <c r="U30" s="52"/>
    </row>
    <row r="31" spans="1:21" ht="15" customHeight="1" x14ac:dyDescent="0.25">
      <c r="A31" s="15">
        <f>'Raw Data &amp; Analysis Setup'!A31</f>
        <v>30</v>
      </c>
      <c r="B31" s="56">
        <f>IF(AND(ISNUMBER('Raw Data &amp; Analysis Setup'!B31),'Raw Data &amp; Analysis Setup'!B31&gt;0),'Raw Data &amp; Analysis Setup'!B31,"")</f>
        <v>30</v>
      </c>
      <c r="C31" s="57" t="s">
        <v>17</v>
      </c>
      <c r="D31" s="20">
        <v>72</v>
      </c>
      <c r="E31" s="20" t="s">
        <v>27</v>
      </c>
      <c r="F31" s="138"/>
      <c r="G31" s="138"/>
      <c r="H31" s="136"/>
      <c r="I31" s="137"/>
      <c r="J31" s="136"/>
      <c r="K31" s="136"/>
      <c r="U31" s="51"/>
    </row>
    <row r="32" spans="1:21" ht="15" customHeight="1" x14ac:dyDescent="0.25">
      <c r="A32" s="15">
        <f>'Raw Data &amp; Analysis Setup'!A32</f>
        <v>31</v>
      </c>
      <c r="B32" s="56">
        <f>IF(AND(ISNUMBER('Raw Data &amp; Analysis Setup'!B32),'Raw Data &amp; Analysis Setup'!B32&gt;0),'Raw Data &amp; Analysis Setup'!B32,"")</f>
        <v>18.062000274658203</v>
      </c>
      <c r="C32" s="57" t="s">
        <v>18</v>
      </c>
      <c r="D32" s="20">
        <v>67</v>
      </c>
      <c r="E32" s="20" t="s">
        <v>26</v>
      </c>
      <c r="F32" s="138">
        <v>100</v>
      </c>
      <c r="G32" s="139" t="s">
        <v>57</v>
      </c>
      <c r="H32" s="136">
        <f t="shared" ref="H32" si="19">IF(SUM(B32:B34)&gt;0,AVERAGE(B32:B34),"")</f>
        <v>18.049333572387695</v>
      </c>
      <c r="I32" s="137">
        <f t="shared" ref="I32" si="20">IF(SUM(B32:B34)&gt;0,STDEV(B32:B34),0)</f>
        <v>3.5725287091960524E-2</v>
      </c>
      <c r="J32" s="136">
        <f>IF(H32&lt;&gt;"",IF(VLOOKUP(D32,$A$2:$H$73,8,FALSE)&gt;0,VLOOKUP(D32,$A$2:$H$73,8,FALSE),""),"")</f>
        <v>18.603333155314129</v>
      </c>
      <c r="K32" s="136">
        <f>IF(ISNUMBER(H32),H32-J32,"")</f>
        <v>-0.55399958292643348</v>
      </c>
      <c r="U32" s="51"/>
    </row>
    <row r="33" spans="1:11" ht="15" customHeight="1" x14ac:dyDescent="0.25">
      <c r="A33" s="15">
        <f>'Raw Data &amp; Analysis Setup'!A33</f>
        <v>32</v>
      </c>
      <c r="B33" s="56">
        <f>IF(AND(ISNUMBER('Raw Data &amp; Analysis Setup'!B33),'Raw Data &amp; Analysis Setup'!B33&gt;0),'Raw Data &amp; Analysis Setup'!B33,"")</f>
        <v>18.076999664306641</v>
      </c>
      <c r="C33" s="57" t="s">
        <v>18</v>
      </c>
      <c r="D33" s="20">
        <v>68</v>
      </c>
      <c r="E33" s="20" t="s">
        <v>26</v>
      </c>
      <c r="F33" s="138"/>
      <c r="G33" s="138"/>
      <c r="H33" s="136"/>
      <c r="I33" s="137"/>
      <c r="J33" s="136"/>
      <c r="K33" s="136"/>
    </row>
    <row r="34" spans="1:11" ht="15" customHeight="1" x14ac:dyDescent="0.25">
      <c r="A34" s="15">
        <f>'Raw Data &amp; Analysis Setup'!A34</f>
        <v>33</v>
      </c>
      <c r="B34" s="56">
        <f>IF(AND(ISNUMBER('Raw Data &amp; Analysis Setup'!B34),'Raw Data &amp; Analysis Setup'!B34&gt;0),'Raw Data &amp; Analysis Setup'!B34,"")</f>
        <v>18.009000778198242</v>
      </c>
      <c r="C34" s="57" t="s">
        <v>18</v>
      </c>
      <c r="D34" s="20">
        <v>69</v>
      </c>
      <c r="E34" s="20" t="s">
        <v>26</v>
      </c>
      <c r="F34" s="138"/>
      <c r="G34" s="138"/>
      <c r="H34" s="136"/>
      <c r="I34" s="137"/>
      <c r="J34" s="136"/>
      <c r="K34" s="136"/>
    </row>
    <row r="35" spans="1:11" ht="15" customHeight="1" x14ac:dyDescent="0.25">
      <c r="A35" s="15">
        <f>'Raw Data &amp; Analysis Setup'!A35</f>
        <v>34</v>
      </c>
      <c r="B35" s="56">
        <f>IF(AND(ISNUMBER('Raw Data &amp; Analysis Setup'!B35),'Raw Data &amp; Analysis Setup'!B35&gt;0),'Raw Data &amp; Analysis Setup'!B35,"")</f>
        <v>20.367000579833984</v>
      </c>
      <c r="C35" s="57" t="s">
        <v>18</v>
      </c>
      <c r="D35" s="20">
        <v>70</v>
      </c>
      <c r="E35" s="20" t="s">
        <v>27</v>
      </c>
      <c r="F35" s="138">
        <v>200</v>
      </c>
      <c r="G35" s="139" t="s">
        <v>58</v>
      </c>
      <c r="H35" s="136">
        <f t="shared" ref="H35" si="21">IF(SUM(B35:B37)&gt;0,AVERAGE(B35:B37),"")</f>
        <v>20.380666732788086</v>
      </c>
      <c r="I35" s="137">
        <f t="shared" ref="I35" si="22">IF(SUM(B35:B37)&gt;0,STDEV(B35:B37),0)</f>
        <v>3.1785582463721027E-2</v>
      </c>
      <c r="J35" s="136">
        <f>IF(H35&lt;&gt;"",IF(VLOOKUP(D35,$A$2:$H$73,8,FALSE)&gt;0,VLOOKUP(D35,$A$2:$H$73,8,FALSE),""),"")</f>
        <v>19.196000417073567</v>
      </c>
      <c r="K35" s="136">
        <f>IF(ISNUMBER(H35),H35-J35,"")</f>
        <v>1.1846663157145194</v>
      </c>
    </row>
    <row r="36" spans="1:11" ht="15" customHeight="1" x14ac:dyDescent="0.25">
      <c r="A36" s="15">
        <f>'Raw Data &amp; Analysis Setup'!A36</f>
        <v>35</v>
      </c>
      <c r="B36" s="56">
        <f>IF(AND(ISNUMBER('Raw Data &amp; Analysis Setup'!B36),'Raw Data &amp; Analysis Setup'!B36&gt;0),'Raw Data &amp; Analysis Setup'!B36,"")</f>
        <v>20.416999816894531</v>
      </c>
      <c r="C36" s="57" t="s">
        <v>18</v>
      </c>
      <c r="D36" s="20">
        <v>71</v>
      </c>
      <c r="E36" s="20" t="s">
        <v>27</v>
      </c>
      <c r="F36" s="138"/>
      <c r="G36" s="138"/>
      <c r="H36" s="136"/>
      <c r="I36" s="137"/>
      <c r="J36" s="136"/>
      <c r="K36" s="136"/>
    </row>
    <row r="37" spans="1:11" ht="15" customHeight="1" x14ac:dyDescent="0.25">
      <c r="A37" s="15">
        <f>'Raw Data &amp; Analysis Setup'!A37</f>
        <v>36</v>
      </c>
      <c r="B37" s="56">
        <f>IF(AND(ISNUMBER('Raw Data &amp; Analysis Setup'!B37),'Raw Data &amp; Analysis Setup'!B37&gt;0),'Raw Data &amp; Analysis Setup'!B37,"")</f>
        <v>20.357999801635742</v>
      </c>
      <c r="C37" s="57" t="s">
        <v>18</v>
      </c>
      <c r="D37" s="20">
        <v>72</v>
      </c>
      <c r="E37" s="20" t="s">
        <v>27</v>
      </c>
      <c r="F37" s="138"/>
      <c r="G37" s="138"/>
      <c r="H37" s="136"/>
      <c r="I37" s="137"/>
      <c r="J37" s="136"/>
      <c r="K37" s="136"/>
    </row>
    <row r="38" spans="1:11" ht="15" customHeight="1" x14ac:dyDescent="0.25">
      <c r="A38" s="15">
        <f>'Raw Data &amp; Analysis Setup'!A38</f>
        <v>37</v>
      </c>
      <c r="B38" s="56">
        <f>IF(AND(ISNUMBER('Raw Data &amp; Analysis Setup'!B38),'Raw Data &amp; Analysis Setup'!B38&gt;0),'Raw Data &amp; Analysis Setup'!B38,"")</f>
        <v>17.840999603271484</v>
      </c>
      <c r="C38" s="57" t="s">
        <v>19</v>
      </c>
      <c r="D38" s="20">
        <v>67</v>
      </c>
      <c r="E38" s="20" t="s">
        <v>26</v>
      </c>
      <c r="F38" s="138">
        <v>100</v>
      </c>
      <c r="G38" s="139" t="s">
        <v>59</v>
      </c>
      <c r="H38" s="136">
        <f t="shared" ref="H38" si="23">IF(SUM(B38:B40)&gt;0,AVERAGE(B38:B40),"")</f>
        <v>17.778333028157551</v>
      </c>
      <c r="I38" s="137">
        <f t="shared" ref="I38" si="24">IF(SUM(B38:B40)&gt;0,STDEV(B38:B40),0)</f>
        <v>5.5374341331746062E-2</v>
      </c>
      <c r="J38" s="136">
        <f>IF(H38&lt;&gt;"",IF(VLOOKUP(D38,$A$2:$H$73,8,FALSE)&gt;0,VLOOKUP(D38,$A$2:$H$73,8,FALSE),""),"")</f>
        <v>18.603333155314129</v>
      </c>
      <c r="K38" s="136">
        <f>IF(ISNUMBER(H38),H38-J38,"")</f>
        <v>-0.82500012715657789</v>
      </c>
    </row>
    <row r="39" spans="1:11" ht="15" customHeight="1" x14ac:dyDescent="0.25">
      <c r="A39" s="15">
        <f>'Raw Data &amp; Analysis Setup'!A39</f>
        <v>38</v>
      </c>
      <c r="B39" s="56">
        <f>IF(AND(ISNUMBER('Raw Data &amp; Analysis Setup'!B39),'Raw Data &amp; Analysis Setup'!B39&gt;0),'Raw Data &amp; Analysis Setup'!B39,"")</f>
        <v>17.736000061035156</v>
      </c>
      <c r="C39" s="57" t="s">
        <v>19</v>
      </c>
      <c r="D39" s="20">
        <v>68</v>
      </c>
      <c r="E39" s="20" t="s">
        <v>26</v>
      </c>
      <c r="F39" s="138"/>
      <c r="G39" s="138"/>
      <c r="H39" s="136"/>
      <c r="I39" s="137"/>
      <c r="J39" s="136"/>
      <c r="K39" s="136"/>
    </row>
    <row r="40" spans="1:11" ht="15" customHeight="1" x14ac:dyDescent="0.25">
      <c r="A40" s="15">
        <f>'Raw Data &amp; Analysis Setup'!A40</f>
        <v>39</v>
      </c>
      <c r="B40" s="56">
        <f>IF(AND(ISNUMBER('Raw Data &amp; Analysis Setup'!B40),'Raw Data &amp; Analysis Setup'!B40&gt;0),'Raw Data &amp; Analysis Setup'!B40,"")</f>
        <v>17.757999420166016</v>
      </c>
      <c r="C40" s="57" t="s">
        <v>19</v>
      </c>
      <c r="D40" s="20">
        <v>69</v>
      </c>
      <c r="E40" s="20" t="s">
        <v>26</v>
      </c>
      <c r="F40" s="138"/>
      <c r="G40" s="138"/>
      <c r="H40" s="136"/>
      <c r="I40" s="137"/>
      <c r="J40" s="136"/>
      <c r="K40" s="136"/>
    </row>
    <row r="41" spans="1:11" ht="15" customHeight="1" x14ac:dyDescent="0.25">
      <c r="A41" s="15">
        <f>'Raw Data &amp; Analysis Setup'!A41</f>
        <v>40</v>
      </c>
      <c r="B41" s="56">
        <f>IF(AND(ISNUMBER('Raw Data &amp; Analysis Setup'!B41),'Raw Data &amp; Analysis Setup'!B41&gt;0),'Raw Data &amp; Analysis Setup'!B41,"")</f>
        <v>19.566999435424805</v>
      </c>
      <c r="C41" s="57" t="s">
        <v>19</v>
      </c>
      <c r="D41" s="20">
        <v>70</v>
      </c>
      <c r="E41" s="20" t="s">
        <v>27</v>
      </c>
      <c r="F41" s="138">
        <v>200</v>
      </c>
      <c r="G41" s="139" t="s">
        <v>60</v>
      </c>
      <c r="H41" s="136">
        <f t="shared" ref="H41" si="25">IF(SUM(B41:B43)&gt;0,AVERAGE(B41:B43),"")</f>
        <v>19.555333455403645</v>
      </c>
      <c r="I41" s="137">
        <f t="shared" ref="I41" si="26">IF(SUM(B41:B43)&gt;0,STDEV(B41:B43),0)</f>
        <v>1.5307826916144145E-2</v>
      </c>
      <c r="J41" s="136">
        <f>IF(H41&lt;&gt;"",IF(VLOOKUP(D41,$A$2:$H$73,8,FALSE)&gt;0,VLOOKUP(D41,$A$2:$H$73,8,FALSE),""),"")</f>
        <v>19.196000417073567</v>
      </c>
      <c r="K41" s="136">
        <f>IF(ISNUMBER(H41),H41-J41,"")</f>
        <v>0.35933303833007813</v>
      </c>
    </row>
    <row r="42" spans="1:11" ht="15" customHeight="1" x14ac:dyDescent="0.25">
      <c r="A42" s="15">
        <f>'Raw Data &amp; Analysis Setup'!A42</f>
        <v>41</v>
      </c>
      <c r="B42" s="56">
        <f>IF(AND(ISNUMBER('Raw Data &amp; Analysis Setup'!B42),'Raw Data &amp; Analysis Setup'!B42&gt;0),'Raw Data &amp; Analysis Setup'!B42,"")</f>
        <v>19.561000823974609</v>
      </c>
      <c r="C42" s="57" t="s">
        <v>19</v>
      </c>
      <c r="D42" s="20">
        <v>71</v>
      </c>
      <c r="E42" s="20" t="s">
        <v>27</v>
      </c>
      <c r="F42" s="138"/>
      <c r="G42" s="138"/>
      <c r="H42" s="136"/>
      <c r="I42" s="137"/>
      <c r="J42" s="136"/>
      <c r="K42" s="136"/>
    </row>
    <row r="43" spans="1:11" ht="15" customHeight="1" x14ac:dyDescent="0.25">
      <c r="A43" s="15">
        <f>'Raw Data &amp; Analysis Setup'!A43</f>
        <v>42</v>
      </c>
      <c r="B43" s="56">
        <f>IF(AND(ISNUMBER('Raw Data &amp; Analysis Setup'!B43),'Raw Data &amp; Analysis Setup'!B43&gt;0),'Raw Data &amp; Analysis Setup'!B43,"")</f>
        <v>19.538000106811523</v>
      </c>
      <c r="C43" s="57" t="s">
        <v>19</v>
      </c>
      <c r="D43" s="20">
        <v>72</v>
      </c>
      <c r="E43" s="20" t="s">
        <v>27</v>
      </c>
      <c r="F43" s="138"/>
      <c r="G43" s="138"/>
      <c r="H43" s="136"/>
      <c r="I43" s="137"/>
      <c r="J43" s="136"/>
      <c r="K43" s="136"/>
    </row>
    <row r="44" spans="1:11" ht="15" customHeight="1" x14ac:dyDescent="0.25">
      <c r="A44" s="15">
        <f>'Raw Data &amp; Analysis Setup'!A44</f>
        <v>43</v>
      </c>
      <c r="B44" s="56">
        <f>IF(AND(ISNUMBER('Raw Data &amp; Analysis Setup'!B44),'Raw Data &amp; Analysis Setup'!B44&gt;0),'Raw Data &amp; Analysis Setup'!B44,"")</f>
        <v>16.368999481201172</v>
      </c>
      <c r="C44" s="57" t="s">
        <v>20</v>
      </c>
      <c r="D44" s="20">
        <v>67</v>
      </c>
      <c r="E44" s="20" t="s">
        <v>26</v>
      </c>
      <c r="F44" s="138">
        <v>100</v>
      </c>
      <c r="G44" s="139" t="s">
        <v>61</v>
      </c>
      <c r="H44" s="136">
        <f t="shared" ref="H44" si="27">IF(SUM(B44:B46)&gt;0,AVERAGE(B44:B46),"")</f>
        <v>16.348666508992512</v>
      </c>
      <c r="I44" s="137">
        <f t="shared" ref="I44" si="28">IF(SUM(B44:B46)&gt;0,STDEV(B44:B46),0)</f>
        <v>1.8770005212945994E-2</v>
      </c>
      <c r="J44" s="136">
        <f>IF(H44&lt;&gt;"",IF(VLOOKUP(D44,$A$2:$H$73,8,FALSE)&gt;0,VLOOKUP(D44,$A$2:$H$73,8,FALSE),""),"")</f>
        <v>18.603333155314129</v>
      </c>
      <c r="K44" s="136">
        <f>IF(ISNUMBER(H44),H44-J44,"")</f>
        <v>-2.254666646321617</v>
      </c>
    </row>
    <row r="45" spans="1:11" ht="15" customHeight="1" x14ac:dyDescent="0.25">
      <c r="A45" s="15">
        <f>'Raw Data &amp; Analysis Setup'!A45</f>
        <v>44</v>
      </c>
      <c r="B45" s="56">
        <f>IF(AND(ISNUMBER('Raw Data &amp; Analysis Setup'!B45),'Raw Data &amp; Analysis Setup'!B45&gt;0),'Raw Data &amp; Analysis Setup'!B45,"")</f>
        <v>16.344999313354492</v>
      </c>
      <c r="C45" s="57" t="s">
        <v>20</v>
      </c>
      <c r="D45" s="20">
        <v>68</v>
      </c>
      <c r="E45" s="20" t="s">
        <v>26</v>
      </c>
      <c r="F45" s="138"/>
      <c r="G45" s="138"/>
      <c r="H45" s="136"/>
      <c r="I45" s="137"/>
      <c r="J45" s="136"/>
      <c r="K45" s="136"/>
    </row>
    <row r="46" spans="1:11" ht="15" customHeight="1" x14ac:dyDescent="0.25">
      <c r="A46" s="15">
        <f>'Raw Data &amp; Analysis Setup'!A46</f>
        <v>45</v>
      </c>
      <c r="B46" s="56">
        <f>IF(AND(ISNUMBER('Raw Data &amp; Analysis Setup'!B46),'Raw Data &amp; Analysis Setup'!B46&gt;0),'Raw Data &amp; Analysis Setup'!B46,"")</f>
        <v>16.332000732421875</v>
      </c>
      <c r="C46" s="57" t="s">
        <v>20</v>
      </c>
      <c r="D46" s="20">
        <v>69</v>
      </c>
      <c r="E46" s="20" t="s">
        <v>26</v>
      </c>
      <c r="F46" s="138"/>
      <c r="G46" s="138"/>
      <c r="H46" s="136"/>
      <c r="I46" s="137"/>
      <c r="J46" s="136"/>
      <c r="K46" s="136"/>
    </row>
    <row r="47" spans="1:11" ht="15" customHeight="1" x14ac:dyDescent="0.25">
      <c r="A47" s="15">
        <f>'Raw Data &amp; Analysis Setup'!A47</f>
        <v>46</v>
      </c>
      <c r="B47" s="56">
        <f>IF(AND(ISNUMBER('Raw Data &amp; Analysis Setup'!B47),'Raw Data &amp; Analysis Setup'!B47&gt;0),'Raw Data &amp; Analysis Setup'!B47,"")</f>
        <v>17.655000686645508</v>
      </c>
      <c r="C47" s="57" t="s">
        <v>20</v>
      </c>
      <c r="D47" s="20">
        <v>70</v>
      </c>
      <c r="E47" s="20" t="s">
        <v>27</v>
      </c>
      <c r="F47" s="138">
        <v>200</v>
      </c>
      <c r="G47" s="139" t="s">
        <v>63</v>
      </c>
      <c r="H47" s="136">
        <f t="shared" ref="H47" si="29">IF(SUM(B47:B49)&gt;0,AVERAGE(B47:B49),"")</f>
        <v>17.640000025431316</v>
      </c>
      <c r="I47" s="137">
        <f t="shared" ref="I47" si="30">IF(SUM(B47:B49)&gt;0,STDEV(B47:B49),0)</f>
        <v>1.4526460392503354E-2</v>
      </c>
      <c r="J47" s="136">
        <f>IF(H47&lt;&gt;"",IF(VLOOKUP(D47,$A$2:$H$73,8,FALSE)&gt;0,VLOOKUP(D47,$A$2:$H$73,8,FALSE),""),"")</f>
        <v>19.196000417073567</v>
      </c>
      <c r="K47" s="136">
        <f>IF(ISNUMBER(H47),H47-J47,"")</f>
        <v>-1.5560003916422502</v>
      </c>
    </row>
    <row r="48" spans="1:11" ht="15" customHeight="1" x14ac:dyDescent="0.25">
      <c r="A48" s="15">
        <f>'Raw Data &amp; Analysis Setup'!A48</f>
        <v>47</v>
      </c>
      <c r="B48" s="56">
        <f>IF(AND(ISNUMBER('Raw Data &amp; Analysis Setup'!B48),'Raw Data &amp; Analysis Setup'!B48&gt;0),'Raw Data &amp; Analysis Setup'!B48,"")</f>
        <v>17.625999450683594</v>
      </c>
      <c r="C48" s="57" t="s">
        <v>20</v>
      </c>
      <c r="D48" s="20">
        <v>71</v>
      </c>
      <c r="E48" s="20" t="s">
        <v>27</v>
      </c>
      <c r="F48" s="138"/>
      <c r="G48" s="138"/>
      <c r="H48" s="136"/>
      <c r="I48" s="137"/>
      <c r="J48" s="136"/>
      <c r="K48" s="136"/>
    </row>
    <row r="49" spans="1:11" ht="15" customHeight="1" x14ac:dyDescent="0.25">
      <c r="A49" s="15">
        <f>'Raw Data &amp; Analysis Setup'!A49</f>
        <v>48</v>
      </c>
      <c r="B49" s="56">
        <f>IF(AND(ISNUMBER('Raw Data &amp; Analysis Setup'!B49),'Raw Data &amp; Analysis Setup'!B49&gt;0),'Raw Data &amp; Analysis Setup'!B49,"")</f>
        <v>17.638999938964844</v>
      </c>
      <c r="C49" s="57" t="s">
        <v>20</v>
      </c>
      <c r="D49" s="20">
        <v>72</v>
      </c>
      <c r="E49" s="20" t="s">
        <v>27</v>
      </c>
      <c r="F49" s="138"/>
      <c r="G49" s="138"/>
      <c r="H49" s="136"/>
      <c r="I49" s="137"/>
      <c r="J49" s="136"/>
      <c r="K49" s="136"/>
    </row>
    <row r="50" spans="1:11" ht="15" customHeight="1" x14ac:dyDescent="0.25">
      <c r="A50" s="15">
        <f>'Raw Data &amp; Analysis Setup'!A50</f>
        <v>49</v>
      </c>
      <c r="B50" s="56">
        <f>IF(AND(ISNUMBER('Raw Data &amp; Analysis Setup'!B50),'Raw Data &amp; Analysis Setup'!B50&gt;0),'Raw Data &amp; Analysis Setup'!B50,"")</f>
        <v>19.643999099731445</v>
      </c>
      <c r="C50" s="57" t="s">
        <v>21</v>
      </c>
      <c r="D50" s="20">
        <v>67</v>
      </c>
      <c r="E50" s="20" t="s">
        <v>26</v>
      </c>
      <c r="F50" s="138">
        <v>100</v>
      </c>
      <c r="G50" s="139" t="s">
        <v>42</v>
      </c>
      <c r="H50" s="136">
        <f t="shared" ref="H50" si="31">IF(SUM(B50:B52)&gt;0,AVERAGE(B50:B52),"")</f>
        <v>19.644333521525066</v>
      </c>
      <c r="I50" s="137">
        <f t="shared" ref="I50" si="32">IF(SUM(B50:B52)&gt;0,STDEV(B50:B52),0)</f>
        <v>1.3503319825877498E-2</v>
      </c>
      <c r="J50" s="136">
        <f>IF(H50&lt;&gt;"",IF(VLOOKUP(D50,$A$2:$H$73,8,FALSE)&gt;0,VLOOKUP(D50,$A$2:$H$73,8,FALSE),""),"")</f>
        <v>18.603333155314129</v>
      </c>
      <c r="K50" s="136">
        <f>IF(ISNUMBER(H50),H50-J50,"")</f>
        <v>1.0410003662109375</v>
      </c>
    </row>
    <row r="51" spans="1:11" ht="15" customHeight="1" x14ac:dyDescent="0.25">
      <c r="A51" s="15">
        <f>'Raw Data &amp; Analysis Setup'!A51</f>
        <v>50</v>
      </c>
      <c r="B51" s="56">
        <f>IF(AND(ISNUMBER('Raw Data &amp; Analysis Setup'!B51),'Raw Data &amp; Analysis Setup'!B51&gt;0),'Raw Data &amp; Analysis Setup'!B51,"")</f>
        <v>19.631000518798828</v>
      </c>
      <c r="C51" s="57" t="s">
        <v>21</v>
      </c>
      <c r="D51" s="20">
        <v>68</v>
      </c>
      <c r="E51" s="20" t="s">
        <v>26</v>
      </c>
      <c r="F51" s="138"/>
      <c r="G51" s="138"/>
      <c r="H51" s="136"/>
      <c r="I51" s="137"/>
      <c r="J51" s="136"/>
      <c r="K51" s="136"/>
    </row>
    <row r="52" spans="1:11" ht="15" customHeight="1" x14ac:dyDescent="0.25">
      <c r="A52" s="15">
        <f>'Raw Data &amp; Analysis Setup'!A52</f>
        <v>51</v>
      </c>
      <c r="B52" s="56">
        <f>IF(AND(ISNUMBER('Raw Data &amp; Analysis Setup'!B52),'Raw Data &amp; Analysis Setup'!B52&gt;0),'Raw Data &amp; Analysis Setup'!B52,"")</f>
        <v>19.658000946044922</v>
      </c>
      <c r="C52" s="57" t="s">
        <v>21</v>
      </c>
      <c r="D52" s="20">
        <v>69</v>
      </c>
      <c r="E52" s="20" t="s">
        <v>26</v>
      </c>
      <c r="F52" s="138"/>
      <c r="G52" s="138"/>
      <c r="H52" s="136"/>
      <c r="I52" s="137"/>
      <c r="J52" s="136"/>
      <c r="K52" s="136"/>
    </row>
    <row r="53" spans="1:11" ht="15" customHeight="1" x14ac:dyDescent="0.25">
      <c r="A53" s="15">
        <f>'Raw Data &amp; Analysis Setup'!A53</f>
        <v>52</v>
      </c>
      <c r="B53" s="56">
        <f>IF(AND(ISNUMBER('Raw Data &amp; Analysis Setup'!B53),'Raw Data &amp; Analysis Setup'!B53&gt;0),'Raw Data &amp; Analysis Setup'!B53,"")</f>
        <v>22.575000762939453</v>
      </c>
      <c r="C53" s="57" t="s">
        <v>21</v>
      </c>
      <c r="D53" s="20">
        <v>70</v>
      </c>
      <c r="E53" s="20" t="s">
        <v>27</v>
      </c>
      <c r="F53" s="138">
        <v>200</v>
      </c>
      <c r="G53" s="139" t="s">
        <v>44</v>
      </c>
      <c r="H53" s="136">
        <f t="shared" ref="H53" si="33">IF(SUM(B53:B55)&gt;0,AVERAGE(B53:B55),"")</f>
        <v>22.569000244140625</v>
      </c>
      <c r="I53" s="137">
        <f t="shared" ref="I53" si="34">IF(SUM(B53:B55)&gt;0,STDEV(B53:B55),0)</f>
        <v>6.000518798828125E-3</v>
      </c>
      <c r="J53" s="136">
        <f>IF(H53&lt;&gt;"",IF(VLOOKUP(D53,$A$2:$H$73,8,FALSE)&gt;0,VLOOKUP(D53,$A$2:$H$73,8,FALSE),""),"")</f>
        <v>19.196000417073567</v>
      </c>
      <c r="K53" s="136">
        <f>IF(ISNUMBER(H53),H53-J53,"")</f>
        <v>3.3729998270670585</v>
      </c>
    </row>
    <row r="54" spans="1:11" ht="15" customHeight="1" x14ac:dyDescent="0.25">
      <c r="A54" s="15">
        <f>'Raw Data &amp; Analysis Setup'!A54</f>
        <v>53</v>
      </c>
      <c r="B54" s="56">
        <f>IF(AND(ISNUMBER('Raw Data &amp; Analysis Setup'!B54),'Raw Data &amp; Analysis Setup'!B54&gt;0),'Raw Data &amp; Analysis Setup'!B54,"")</f>
        <v>22.562999725341797</v>
      </c>
      <c r="C54" s="57" t="s">
        <v>21</v>
      </c>
      <c r="D54" s="20">
        <v>71</v>
      </c>
      <c r="E54" s="20" t="s">
        <v>27</v>
      </c>
      <c r="F54" s="138"/>
      <c r="G54" s="138"/>
      <c r="H54" s="136"/>
      <c r="I54" s="137"/>
      <c r="J54" s="136"/>
      <c r="K54" s="136"/>
    </row>
    <row r="55" spans="1:11" ht="15" customHeight="1" x14ac:dyDescent="0.25">
      <c r="A55" s="15">
        <f>'Raw Data &amp; Analysis Setup'!A55</f>
        <v>54</v>
      </c>
      <c r="B55" s="56">
        <f>IF(AND(ISNUMBER('Raw Data &amp; Analysis Setup'!B55),'Raw Data &amp; Analysis Setup'!B55&gt;0),'Raw Data &amp; Analysis Setup'!B55,"")</f>
        <v>22.569000244140625</v>
      </c>
      <c r="C55" s="57" t="s">
        <v>21</v>
      </c>
      <c r="D55" s="20">
        <v>72</v>
      </c>
      <c r="E55" s="20" t="s">
        <v>27</v>
      </c>
      <c r="F55" s="138"/>
      <c r="G55" s="138"/>
      <c r="H55" s="136"/>
      <c r="I55" s="137"/>
      <c r="J55" s="136"/>
      <c r="K55" s="136"/>
    </row>
    <row r="56" spans="1:11" ht="15" customHeight="1" x14ac:dyDescent="0.25">
      <c r="A56" s="15">
        <f>'Raw Data &amp; Analysis Setup'!A56</f>
        <v>55</v>
      </c>
      <c r="B56" s="56">
        <f>IF(AND(ISNUMBER('Raw Data &amp; Analysis Setup'!B56),'Raw Data &amp; Analysis Setup'!B56&gt;0),'Raw Data &amp; Analysis Setup'!B56,"")</f>
        <v>21.097999572753906</v>
      </c>
      <c r="C56" s="57" t="s">
        <v>22</v>
      </c>
      <c r="D56" s="20">
        <v>67</v>
      </c>
      <c r="E56" s="20" t="s">
        <v>26</v>
      </c>
      <c r="F56" s="138">
        <v>100</v>
      </c>
      <c r="G56" s="139" t="s">
        <v>46</v>
      </c>
      <c r="H56" s="136">
        <f t="shared" ref="H56" si="35">IF(SUM(B56:B58)&gt;0,AVERAGE(B56:B58),"")</f>
        <v>21.031999588012695</v>
      </c>
      <c r="I56" s="137">
        <f t="shared" ref="I56" si="36">IF(SUM(B56:B58)&gt;0,STDEV(B56:B58),0)</f>
        <v>5.7471673640701597E-2</v>
      </c>
      <c r="J56" s="136">
        <f>IF(H56&lt;&gt;"",IF(VLOOKUP(D56,$A$2:$H$73,8,FALSE)&gt;0,VLOOKUP(D56,$A$2:$H$73,8,FALSE),""),"")</f>
        <v>18.603333155314129</v>
      </c>
      <c r="K56" s="136">
        <f>IF(ISNUMBER(H56),H56-J56,"")</f>
        <v>2.4286664326985665</v>
      </c>
    </row>
    <row r="57" spans="1:11" ht="15" customHeight="1" x14ac:dyDescent="0.25">
      <c r="A57" s="15">
        <f>'Raw Data &amp; Analysis Setup'!A57</f>
        <v>56</v>
      </c>
      <c r="B57" s="56">
        <f>IF(AND(ISNUMBER('Raw Data &amp; Analysis Setup'!B57),'Raw Data &amp; Analysis Setup'!B57&gt;0),'Raw Data &amp; Analysis Setup'!B57,"")</f>
        <v>20.993000030517578</v>
      </c>
      <c r="C57" s="57" t="s">
        <v>22</v>
      </c>
      <c r="D57" s="20">
        <v>68</v>
      </c>
      <c r="E57" s="20" t="s">
        <v>26</v>
      </c>
      <c r="F57" s="138"/>
      <c r="G57" s="138"/>
      <c r="H57" s="136"/>
      <c r="I57" s="137"/>
      <c r="J57" s="136"/>
      <c r="K57" s="136"/>
    </row>
    <row r="58" spans="1:11" ht="15" customHeight="1" x14ac:dyDescent="0.25">
      <c r="A58" s="15">
        <f>'Raw Data &amp; Analysis Setup'!A58</f>
        <v>57</v>
      </c>
      <c r="B58" s="56">
        <f>IF(AND(ISNUMBER('Raw Data &amp; Analysis Setup'!B58),'Raw Data &amp; Analysis Setup'!B58&gt;0),'Raw Data &amp; Analysis Setup'!B58,"")</f>
        <v>21.004999160766602</v>
      </c>
      <c r="C58" s="57" t="s">
        <v>22</v>
      </c>
      <c r="D58" s="20">
        <v>69</v>
      </c>
      <c r="E58" s="20" t="s">
        <v>26</v>
      </c>
      <c r="F58" s="138"/>
      <c r="G58" s="138"/>
      <c r="H58" s="136"/>
      <c r="I58" s="137"/>
      <c r="J58" s="136"/>
      <c r="K58" s="136"/>
    </row>
    <row r="59" spans="1:11" ht="15" customHeight="1" x14ac:dyDescent="0.25">
      <c r="A59" s="15">
        <f>'Raw Data &amp; Analysis Setup'!A59</f>
        <v>58</v>
      </c>
      <c r="B59" s="56">
        <f>IF(AND(ISNUMBER('Raw Data &amp; Analysis Setup'!B59),'Raw Data &amp; Analysis Setup'!B59&gt;0),'Raw Data &amp; Analysis Setup'!B59,"")</f>
        <v>23.975000381469727</v>
      </c>
      <c r="C59" s="57" t="s">
        <v>22</v>
      </c>
      <c r="D59" s="20">
        <v>70</v>
      </c>
      <c r="E59" s="20" t="s">
        <v>27</v>
      </c>
      <c r="F59" s="138">
        <v>200</v>
      </c>
      <c r="G59" s="139" t="s">
        <v>48</v>
      </c>
      <c r="H59" s="136">
        <f t="shared" ref="H59" si="37">IF(SUM(B59:B61)&gt;0,AVERAGE(B59:B61),"")</f>
        <v>24.001667022705078</v>
      </c>
      <c r="I59" s="137">
        <f t="shared" ref="I59" si="38">IF(SUM(B59:B61)&gt;0,STDEV(B59:B61),0)</f>
        <v>7.4661545657408915E-2</v>
      </c>
      <c r="J59" s="136">
        <f>IF(H59&lt;&gt;"",IF(VLOOKUP(D59,$A$2:$H$73,8,FALSE)&gt;0,VLOOKUP(D59,$A$2:$H$73,8,FALSE),""),"")</f>
        <v>19.196000417073567</v>
      </c>
      <c r="K59" s="136">
        <f>IF(ISNUMBER(H59),H59-J59,"")</f>
        <v>4.8056666056315116</v>
      </c>
    </row>
    <row r="60" spans="1:11" ht="15" customHeight="1" x14ac:dyDescent="0.25">
      <c r="A60" s="15">
        <f>'Raw Data &amp; Analysis Setup'!A60</f>
        <v>59</v>
      </c>
      <c r="B60" s="56">
        <f>IF(AND(ISNUMBER('Raw Data &amp; Analysis Setup'!B60),'Raw Data &amp; Analysis Setup'!B60&gt;0),'Raw Data &amp; Analysis Setup'!B60,"")</f>
        <v>23.944000244140625</v>
      </c>
      <c r="C60" s="57" t="s">
        <v>22</v>
      </c>
      <c r="D60" s="20">
        <v>71</v>
      </c>
      <c r="E60" s="20" t="s">
        <v>27</v>
      </c>
      <c r="F60" s="138"/>
      <c r="G60" s="138"/>
      <c r="H60" s="136"/>
      <c r="I60" s="137"/>
      <c r="J60" s="136"/>
      <c r="K60" s="136"/>
    </row>
    <row r="61" spans="1:11" ht="15" customHeight="1" x14ac:dyDescent="0.25">
      <c r="A61" s="15">
        <f>'Raw Data &amp; Analysis Setup'!A61</f>
        <v>60</v>
      </c>
      <c r="B61" s="56">
        <f>IF(AND(ISNUMBER('Raw Data &amp; Analysis Setup'!B61),'Raw Data &amp; Analysis Setup'!B61&gt;0),'Raw Data &amp; Analysis Setup'!B61,"")</f>
        <v>24.086000442504883</v>
      </c>
      <c r="C61" s="57" t="s">
        <v>22</v>
      </c>
      <c r="D61" s="20">
        <v>72</v>
      </c>
      <c r="E61" s="20" t="s">
        <v>27</v>
      </c>
      <c r="F61" s="138"/>
      <c r="G61" s="138"/>
      <c r="H61" s="136"/>
      <c r="I61" s="137"/>
      <c r="J61" s="136"/>
      <c r="K61" s="136"/>
    </row>
    <row r="62" spans="1:11" ht="15" customHeight="1" x14ac:dyDescent="0.25">
      <c r="A62" s="15">
        <f>'Raw Data &amp; Analysis Setup'!A62</f>
        <v>61</v>
      </c>
      <c r="B62" s="56">
        <f>IF(AND(ISNUMBER('Raw Data &amp; Analysis Setup'!B62),'Raw Data &amp; Analysis Setup'!B62&gt;0),'Raw Data &amp; Analysis Setup'!B62,"")</f>
        <v>21.302000045776367</v>
      </c>
      <c r="C62" s="57" t="s">
        <v>23</v>
      </c>
      <c r="D62" s="20">
        <v>67</v>
      </c>
      <c r="E62" s="20" t="s">
        <v>26</v>
      </c>
      <c r="F62" s="138">
        <v>100</v>
      </c>
      <c r="G62" s="139" t="s">
        <v>50</v>
      </c>
      <c r="H62" s="136">
        <f t="shared" ref="H62" si="39">IF(SUM(B62:B64)&gt;0,AVERAGE(B62:B64),"")</f>
        <v>21.275999704996746</v>
      </c>
      <c r="I62" s="137">
        <f t="shared" ref="I62" si="40">IF(SUM(B62:B64)&gt;0,STDEV(B62:B64),0)</f>
        <v>2.7055934474581711E-2</v>
      </c>
      <c r="J62" s="136">
        <f>IF(H62&lt;&gt;"",IF(VLOOKUP(D62,$A$2:$H$73,8,FALSE)&gt;0,VLOOKUP(D62,$A$2:$H$73,8,FALSE),""),"")</f>
        <v>18.603333155314129</v>
      </c>
      <c r="K62" s="136">
        <f>IF(ISNUMBER(H62),H62-J62,"")</f>
        <v>2.6726665496826172</v>
      </c>
    </row>
    <row r="63" spans="1:11" ht="15" customHeight="1" x14ac:dyDescent="0.25">
      <c r="A63" s="15">
        <f>'Raw Data &amp; Analysis Setup'!A63</f>
        <v>62</v>
      </c>
      <c r="B63" s="56">
        <f>IF(AND(ISNUMBER('Raw Data &amp; Analysis Setup'!B63),'Raw Data &amp; Analysis Setup'!B63&gt;0),'Raw Data &amp; Analysis Setup'!B63,"")</f>
        <v>21.277999877929688</v>
      </c>
      <c r="C63" s="57" t="s">
        <v>23</v>
      </c>
      <c r="D63" s="20">
        <v>68</v>
      </c>
      <c r="E63" s="20" t="s">
        <v>26</v>
      </c>
      <c r="F63" s="138"/>
      <c r="G63" s="138"/>
      <c r="H63" s="136"/>
      <c r="I63" s="137"/>
      <c r="J63" s="136"/>
      <c r="K63" s="136"/>
    </row>
    <row r="64" spans="1:11" ht="15" customHeight="1" x14ac:dyDescent="0.25">
      <c r="A64" s="15">
        <f>'Raw Data &amp; Analysis Setup'!A64</f>
        <v>63</v>
      </c>
      <c r="B64" s="56">
        <f>IF(AND(ISNUMBER('Raw Data &amp; Analysis Setup'!B64),'Raw Data &amp; Analysis Setup'!B64&gt;0),'Raw Data &amp; Analysis Setup'!B64,"")</f>
        <v>21.24799919128418</v>
      </c>
      <c r="C64" s="57" t="s">
        <v>23</v>
      </c>
      <c r="D64" s="20">
        <v>69</v>
      </c>
      <c r="E64" s="20" t="s">
        <v>26</v>
      </c>
      <c r="F64" s="138"/>
      <c r="G64" s="138"/>
      <c r="H64" s="136"/>
      <c r="I64" s="137"/>
      <c r="J64" s="136"/>
      <c r="K64" s="136"/>
    </row>
    <row r="65" spans="1:11" ht="15" customHeight="1" x14ac:dyDescent="0.25">
      <c r="A65" s="15">
        <f>'Raw Data &amp; Analysis Setup'!A65</f>
        <v>64</v>
      </c>
      <c r="B65" s="56">
        <f>IF(AND(ISNUMBER('Raw Data &amp; Analysis Setup'!B65),'Raw Data &amp; Analysis Setup'!B65&gt;0),'Raw Data &amp; Analysis Setup'!B65,"")</f>
        <v>25.153999328613281</v>
      </c>
      <c r="C65" s="57" t="s">
        <v>23</v>
      </c>
      <c r="D65" s="20">
        <v>70</v>
      </c>
      <c r="E65" s="20" t="s">
        <v>27</v>
      </c>
      <c r="F65" s="138">
        <v>200</v>
      </c>
      <c r="G65" s="139" t="s">
        <v>52</v>
      </c>
      <c r="H65" s="136">
        <f t="shared" ref="H65" si="41">IF(SUM(B65:B67)&gt;0,AVERAGE(B65:B67),"")</f>
        <v>25.223666508992512</v>
      </c>
      <c r="I65" s="137">
        <f t="shared" ref="I65" si="42">IF(SUM(B65:B67)&gt;0,STDEV(B65:B67),0)</f>
        <v>6.8530317184718872E-2</v>
      </c>
      <c r="J65" s="136">
        <f>IF(H65&lt;&gt;"",IF(VLOOKUP(D65,$A$2:$H$73,8,FALSE)&gt;0,VLOOKUP(D65,$A$2:$H$73,8,FALSE),""),"")</f>
        <v>19.196000417073567</v>
      </c>
      <c r="K65" s="136">
        <f>IF(ISNUMBER(H65),H65-J65,"")</f>
        <v>6.0276660919189453</v>
      </c>
    </row>
    <row r="66" spans="1:11" ht="15" customHeight="1" x14ac:dyDescent="0.25">
      <c r="A66" s="15">
        <f>'Raw Data &amp; Analysis Setup'!A66</f>
        <v>65</v>
      </c>
      <c r="B66" s="56">
        <f>IF(AND(ISNUMBER('Raw Data &amp; Analysis Setup'!B66),'Raw Data &amp; Analysis Setup'!B66&gt;0),'Raw Data &amp; Analysis Setup'!B66,"")</f>
        <v>25.291000366210938</v>
      </c>
      <c r="C66" s="57" t="s">
        <v>23</v>
      </c>
      <c r="D66" s="20">
        <v>71</v>
      </c>
      <c r="E66" s="20" t="s">
        <v>27</v>
      </c>
      <c r="F66" s="138"/>
      <c r="G66" s="138"/>
      <c r="H66" s="136"/>
      <c r="I66" s="137"/>
      <c r="J66" s="136"/>
      <c r="K66" s="136"/>
    </row>
    <row r="67" spans="1:11" ht="15" customHeight="1" x14ac:dyDescent="0.25">
      <c r="A67" s="15">
        <f>'Raw Data &amp; Analysis Setup'!A67</f>
        <v>66</v>
      </c>
      <c r="B67" s="56">
        <f>IF(AND(ISNUMBER('Raw Data &amp; Analysis Setup'!B67),'Raw Data &amp; Analysis Setup'!B67&gt;0),'Raw Data &amp; Analysis Setup'!B67,"")</f>
        <v>25.22599983215332</v>
      </c>
      <c r="C67" s="57" t="s">
        <v>23</v>
      </c>
      <c r="D67" s="20">
        <v>72</v>
      </c>
      <c r="E67" s="20" t="s">
        <v>27</v>
      </c>
      <c r="F67" s="138"/>
      <c r="G67" s="138"/>
      <c r="H67" s="136"/>
      <c r="I67" s="137"/>
      <c r="J67" s="136"/>
      <c r="K67" s="136"/>
    </row>
    <row r="68" spans="1:11" ht="15" customHeight="1" x14ac:dyDescent="0.25">
      <c r="A68" s="15">
        <f>'Raw Data &amp; Analysis Setup'!A68</f>
        <v>67</v>
      </c>
      <c r="B68" s="56">
        <f>IF(AND(ISNUMBER('Raw Data &amp; Analysis Setup'!B68),'Raw Data &amp; Analysis Setup'!B68&gt;0),'Raw Data &amp; Analysis Setup'!B68,"")</f>
        <v>18.625999450683594</v>
      </c>
      <c r="C68" s="20" t="s">
        <v>3</v>
      </c>
      <c r="D68" s="20">
        <v>67</v>
      </c>
      <c r="E68" s="20" t="s">
        <v>26</v>
      </c>
      <c r="F68" s="138">
        <v>100</v>
      </c>
      <c r="G68" s="139" t="s">
        <v>62</v>
      </c>
      <c r="H68" s="136">
        <f t="shared" ref="H68" si="43">IF(SUM(B68:B70)&gt;0,AVERAGE(B68:B70),"")</f>
        <v>18.603333155314129</v>
      </c>
      <c r="I68" s="137">
        <f t="shared" ref="I68" si="44">IF(SUM(B68:B70)&gt;0,STDEV(B68:B70),0)</f>
        <v>1.9857405272706588E-2</v>
      </c>
      <c r="J68" s="136">
        <f>IF(H68&lt;&gt;"",IF(VLOOKUP(D68,$A$2:$H$73,8,FALSE)&gt;0,VLOOKUP(D68,$A$2:$H$73,8,FALSE),""),"")</f>
        <v>18.603333155314129</v>
      </c>
      <c r="K68" s="136">
        <f>IF(ISNUMBER(H68),H68-J68,"")</f>
        <v>0</v>
      </c>
    </row>
    <row r="69" spans="1:11" ht="15" customHeight="1" x14ac:dyDescent="0.25">
      <c r="A69" s="15">
        <f>'Raw Data &amp; Analysis Setup'!A69</f>
        <v>68</v>
      </c>
      <c r="B69" s="56">
        <f>IF(AND(ISNUMBER('Raw Data &amp; Analysis Setup'!B69),'Raw Data &amp; Analysis Setup'!B69&gt;0),'Raw Data &amp; Analysis Setup'!B69,"")</f>
        <v>18.589000701904297</v>
      </c>
      <c r="C69" s="20" t="s">
        <v>3</v>
      </c>
      <c r="D69" s="20">
        <v>68</v>
      </c>
      <c r="E69" s="20" t="s">
        <v>26</v>
      </c>
      <c r="F69" s="138"/>
      <c r="G69" s="138"/>
      <c r="H69" s="136"/>
      <c r="I69" s="137"/>
      <c r="J69" s="136"/>
      <c r="K69" s="136"/>
    </row>
    <row r="70" spans="1:11" ht="15" customHeight="1" x14ac:dyDescent="0.25">
      <c r="A70" s="15">
        <f>'Raw Data &amp; Analysis Setup'!A70</f>
        <v>69</v>
      </c>
      <c r="B70" s="56">
        <f>IF(AND(ISNUMBER('Raw Data &amp; Analysis Setup'!B70),'Raw Data &amp; Analysis Setup'!B70&gt;0),'Raw Data &amp; Analysis Setup'!B70,"")</f>
        <v>18.594999313354492</v>
      </c>
      <c r="C70" s="20" t="s">
        <v>3</v>
      </c>
      <c r="D70" s="20">
        <v>69</v>
      </c>
      <c r="E70" s="20" t="s">
        <v>26</v>
      </c>
      <c r="F70" s="138"/>
      <c r="G70" s="138"/>
      <c r="H70" s="136"/>
      <c r="I70" s="137"/>
      <c r="J70" s="136"/>
      <c r="K70" s="136"/>
    </row>
    <row r="71" spans="1:11" ht="15" customHeight="1" x14ac:dyDescent="0.25">
      <c r="A71" s="15">
        <f>'Raw Data &amp; Analysis Setup'!A71</f>
        <v>70</v>
      </c>
      <c r="B71" s="56">
        <f>IF(AND(ISNUMBER('Raw Data &amp; Analysis Setup'!B71),'Raw Data &amp; Analysis Setup'!B71&gt;0),'Raw Data &amp; Analysis Setup'!B71,"")</f>
        <v>19.169000625610352</v>
      </c>
      <c r="C71" s="20" t="s">
        <v>3</v>
      </c>
      <c r="D71" s="20">
        <v>70</v>
      </c>
      <c r="E71" s="20" t="s">
        <v>27</v>
      </c>
      <c r="F71" s="138">
        <v>200</v>
      </c>
      <c r="G71" s="139" t="s">
        <v>64</v>
      </c>
      <c r="H71" s="136">
        <f t="shared" ref="H71" si="45">IF(SUM(B71:B73)&gt;0,AVERAGE(B71:B73),"")</f>
        <v>19.196000417073567</v>
      </c>
      <c r="I71" s="137">
        <f t="shared" ref="I71" si="46">IF(SUM(B71:B73)&gt;0,STDEV(B71:B73),0)</f>
        <v>2.4879574763224915E-2</v>
      </c>
      <c r="J71" s="136">
        <f>IF(H71&lt;&gt;"",IF(VLOOKUP(D71,$A$2:$H$73,8,FALSE)&gt;0,VLOOKUP(D71,$A$2:$H$73,8,FALSE),""),"")</f>
        <v>19.196000417073567</v>
      </c>
      <c r="K71" s="136">
        <f>IF(ISNUMBER(H71),H71-J71,"")</f>
        <v>0</v>
      </c>
    </row>
    <row r="72" spans="1:11" ht="15" customHeight="1" x14ac:dyDescent="0.25">
      <c r="A72" s="15">
        <f>'Raw Data &amp; Analysis Setup'!A72</f>
        <v>71</v>
      </c>
      <c r="B72" s="56">
        <f>IF(AND(ISNUMBER('Raw Data &amp; Analysis Setup'!B72),'Raw Data &amp; Analysis Setup'!B72&gt;0),'Raw Data &amp; Analysis Setup'!B72,"")</f>
        <v>19.201000213623047</v>
      </c>
      <c r="C72" s="20" t="s">
        <v>3</v>
      </c>
      <c r="D72" s="20">
        <v>71</v>
      </c>
      <c r="E72" s="20" t="s">
        <v>27</v>
      </c>
      <c r="F72" s="138"/>
      <c r="G72" s="138"/>
      <c r="H72" s="136"/>
      <c r="I72" s="137"/>
      <c r="J72" s="136"/>
      <c r="K72" s="136"/>
    </row>
    <row r="73" spans="1:11" ht="15" customHeight="1" x14ac:dyDescent="0.25">
      <c r="A73" s="15">
        <f>'Raw Data &amp; Analysis Setup'!A73</f>
        <v>72</v>
      </c>
      <c r="B73" s="56">
        <f>IF(AND(ISNUMBER('Raw Data &amp; Analysis Setup'!B73),'Raw Data &amp; Analysis Setup'!B73&gt;0),'Raw Data &amp; Analysis Setup'!B73,"")</f>
        <v>19.218000411987305</v>
      </c>
      <c r="C73" s="20" t="s">
        <v>3</v>
      </c>
      <c r="D73" s="20">
        <v>72</v>
      </c>
      <c r="E73" s="20" t="s">
        <v>27</v>
      </c>
      <c r="F73" s="138"/>
      <c r="G73" s="138"/>
      <c r="H73" s="136"/>
      <c r="I73" s="137"/>
      <c r="J73" s="136"/>
      <c r="K73" s="136"/>
    </row>
    <row r="76" spans="1:11" ht="15" customHeight="1" x14ac:dyDescent="0.25">
      <c r="C76" s="18"/>
      <c r="D76" s="18"/>
      <c r="E76" s="18"/>
      <c r="F76" s="18"/>
    </row>
  </sheetData>
  <mergeCells count="148">
    <mergeCell ref="F68:F70"/>
    <mergeCell ref="K71:K73"/>
    <mergeCell ref="J71:J73"/>
    <mergeCell ref="I71:I73"/>
    <mergeCell ref="H71:H73"/>
    <mergeCell ref="G71:G73"/>
    <mergeCell ref="F71:F73"/>
    <mergeCell ref="K68:K70"/>
    <mergeCell ref="J68:J70"/>
    <mergeCell ref="I68:I70"/>
    <mergeCell ref="H68:H70"/>
    <mergeCell ref="G68:G70"/>
    <mergeCell ref="F62:F64"/>
    <mergeCell ref="K65:K67"/>
    <mergeCell ref="J65:J67"/>
    <mergeCell ref="I65:I67"/>
    <mergeCell ref="H65:H67"/>
    <mergeCell ref="G65:G67"/>
    <mergeCell ref="F65:F67"/>
    <mergeCell ref="K62:K64"/>
    <mergeCell ref="J62:J64"/>
    <mergeCell ref="I62:I64"/>
    <mergeCell ref="H62:H64"/>
    <mergeCell ref="G62:G64"/>
    <mergeCell ref="F56:F58"/>
    <mergeCell ref="K59:K61"/>
    <mergeCell ref="J59:J61"/>
    <mergeCell ref="I59:I61"/>
    <mergeCell ref="H59:H61"/>
    <mergeCell ref="G59:G61"/>
    <mergeCell ref="F59:F61"/>
    <mergeCell ref="K56:K58"/>
    <mergeCell ref="J56:J58"/>
    <mergeCell ref="I56:I58"/>
    <mergeCell ref="H56:H58"/>
    <mergeCell ref="G56:G58"/>
    <mergeCell ref="F50:F52"/>
    <mergeCell ref="K53:K55"/>
    <mergeCell ref="J53:J55"/>
    <mergeCell ref="I53:I55"/>
    <mergeCell ref="H53:H55"/>
    <mergeCell ref="G53:G55"/>
    <mergeCell ref="F53:F55"/>
    <mergeCell ref="K50:K52"/>
    <mergeCell ref="J50:J52"/>
    <mergeCell ref="I50:I52"/>
    <mergeCell ref="H50:H52"/>
    <mergeCell ref="G50:G52"/>
    <mergeCell ref="F44:F46"/>
    <mergeCell ref="K47:K49"/>
    <mergeCell ref="J47:J49"/>
    <mergeCell ref="I47:I49"/>
    <mergeCell ref="H47:H49"/>
    <mergeCell ref="G47:G49"/>
    <mergeCell ref="F47:F49"/>
    <mergeCell ref="K44:K46"/>
    <mergeCell ref="J44:J46"/>
    <mergeCell ref="I44:I46"/>
    <mergeCell ref="H44:H46"/>
    <mergeCell ref="G44:G46"/>
    <mergeCell ref="F38:F40"/>
    <mergeCell ref="K41:K43"/>
    <mergeCell ref="J41:J43"/>
    <mergeCell ref="I41:I43"/>
    <mergeCell ref="H41:H43"/>
    <mergeCell ref="G41:G43"/>
    <mergeCell ref="F41:F43"/>
    <mergeCell ref="K38:K40"/>
    <mergeCell ref="J38:J40"/>
    <mergeCell ref="I38:I40"/>
    <mergeCell ref="H38:H40"/>
    <mergeCell ref="G38:G40"/>
    <mergeCell ref="F32:F34"/>
    <mergeCell ref="K35:K37"/>
    <mergeCell ref="J35:J37"/>
    <mergeCell ref="I35:I37"/>
    <mergeCell ref="H35:H37"/>
    <mergeCell ref="G35:G37"/>
    <mergeCell ref="F35:F37"/>
    <mergeCell ref="K32:K34"/>
    <mergeCell ref="J32:J34"/>
    <mergeCell ref="I32:I34"/>
    <mergeCell ref="H32:H34"/>
    <mergeCell ref="G32:G34"/>
    <mergeCell ref="F26:F28"/>
    <mergeCell ref="K29:K31"/>
    <mergeCell ref="J29:J31"/>
    <mergeCell ref="I29:I31"/>
    <mergeCell ref="H29:H31"/>
    <mergeCell ref="G29:G31"/>
    <mergeCell ref="F29:F31"/>
    <mergeCell ref="K26:K28"/>
    <mergeCell ref="J26:J28"/>
    <mergeCell ref="I26:I28"/>
    <mergeCell ref="H26:H28"/>
    <mergeCell ref="G26:G28"/>
    <mergeCell ref="F20:F22"/>
    <mergeCell ref="K23:K25"/>
    <mergeCell ref="J23:J25"/>
    <mergeCell ref="I23:I25"/>
    <mergeCell ref="H23:H25"/>
    <mergeCell ref="G23:G25"/>
    <mergeCell ref="F23:F25"/>
    <mergeCell ref="K20:K22"/>
    <mergeCell ref="J20:J22"/>
    <mergeCell ref="I20:I22"/>
    <mergeCell ref="H20:H22"/>
    <mergeCell ref="G20:G22"/>
    <mergeCell ref="F11:F13"/>
    <mergeCell ref="K8:K10"/>
    <mergeCell ref="J8:J10"/>
    <mergeCell ref="I8:I10"/>
    <mergeCell ref="H8:H10"/>
    <mergeCell ref="G8:G10"/>
    <mergeCell ref="F14:F16"/>
    <mergeCell ref="K17:K19"/>
    <mergeCell ref="J17:J19"/>
    <mergeCell ref="I17:I19"/>
    <mergeCell ref="H17:H19"/>
    <mergeCell ref="G17:G19"/>
    <mergeCell ref="F17:F19"/>
    <mergeCell ref="K14:K16"/>
    <mergeCell ref="J14:J16"/>
    <mergeCell ref="I14:I16"/>
    <mergeCell ref="H14:H16"/>
    <mergeCell ref="G14:G16"/>
    <mergeCell ref="F2:F4"/>
    <mergeCell ref="K5:K7"/>
    <mergeCell ref="J5:J7"/>
    <mergeCell ref="I5:I7"/>
    <mergeCell ref="H5:H7"/>
    <mergeCell ref="G5:G7"/>
    <mergeCell ref="F5:F7"/>
    <mergeCell ref="P1:P2"/>
    <mergeCell ref="F8:F10"/>
    <mergeCell ref="Q16:U16"/>
    <mergeCell ref="Q17:U17"/>
    <mergeCell ref="Q18:U18"/>
    <mergeCell ref="K2:K4"/>
    <mergeCell ref="J2:J4"/>
    <mergeCell ref="I2:I4"/>
    <mergeCell ref="H2:H4"/>
    <mergeCell ref="G2:G4"/>
    <mergeCell ref="K11:K13"/>
    <mergeCell ref="J11:J13"/>
    <mergeCell ref="I11:I13"/>
    <mergeCell ref="H11:H13"/>
    <mergeCell ref="G11:G13"/>
  </mergeCells>
  <pageMargins left="0.7" right="0.7" top="0.75" bottom="0.75" header="0.3" footer="0.3"/>
  <pageSetup scale="79" orientation="portrait" r:id="rId1"/>
  <colBreaks count="1" manualBreakCount="1">
    <brk id="3" max="1048575" man="1"/>
  </colBreaks>
  <ignoredErrors>
    <ignoredError sqref="H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Assay Quick Start Guide</vt:lpstr>
      <vt:lpstr>Raw Data &amp; Analysis Setup</vt:lpstr>
      <vt:lpstr>Results</vt:lpstr>
      <vt:lpstr>Calculation</vt:lpstr>
      <vt:lpstr>'Assay Quick Start Guide'!OLE_LINK1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2017-02-13T18:51:33Z</dcterms:modified>
</cp:coreProperties>
</file>