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80" windowWidth="2160" windowHeight="1170" activeTab="1"/>
  </bookViews>
  <sheets>
    <sheet name="Input" sheetId="1" r:id="rId1"/>
    <sheet name="Workflow products" sheetId="25" r:id="rId2"/>
    <sheet name="Sheet5" sheetId="36" state="hidden" r:id="rId3"/>
    <sheet name="Sheet10" sheetId="44" state="hidden" r:id="rId4"/>
    <sheet name="Sheet6" sheetId="37" state="hidden" r:id="rId5"/>
    <sheet name="QuantiMIZE" sheetId="4" state="hidden" r:id="rId6"/>
    <sheet name="Sheet1" sheetId="34" state="hidden" r:id="rId7"/>
    <sheet name="Sheet3" sheetId="35" state="hidden" r:id="rId8"/>
    <sheet name="Sheet8" sheetId="39" state="hidden" r:id="rId9"/>
    <sheet name="Sheet9" sheetId="40" state="hidden" r:id="rId10"/>
    <sheet name="Sheet2" sheetId="41" state="hidden" r:id="rId11"/>
    <sheet name="Sheet4" sheetId="42" state="hidden" r:id="rId12"/>
    <sheet name="MinPlates" sheetId="43" state="hidden" r:id="rId13"/>
  </sheets>
  <definedNames>
    <definedName name="AllCatalogedPanels" localSheetId="12">#REF!</definedName>
    <definedName name="AllCatalogedPanels">#REF!</definedName>
    <definedName name="AMPure" localSheetId="12">#REF!</definedName>
    <definedName name="AMPure">#REF!</definedName>
    <definedName name="AnalysisType">Sheet1!$A$11:$A$13</definedName>
    <definedName name="CatalogedArrays">Sheet1!$A$15:$A$30</definedName>
    <definedName name="CatalogedPanels" localSheetId="12">#REF!</definedName>
    <definedName name="CatalogedPanels">#REF!</definedName>
    <definedName name="CleanUp" localSheetId="12">#REF!</definedName>
    <definedName name="CleanUp">#REF!</definedName>
    <definedName name="CleanUp2" localSheetId="12">#REF!</definedName>
    <definedName name="CleanUp2">#REF!</definedName>
    <definedName name="CustomArraySpecies">Sheet2!$B$7:$C$25</definedName>
    <definedName name="CustomArrayVariants" localSheetId="12">MinPlates!$A$1:$L$3</definedName>
    <definedName name="CustomArrayVariants">Sheet4!$A$1:$L$3</definedName>
    <definedName name="CustomMnMpricing" localSheetId="12">#REF!</definedName>
    <definedName name="CustomMnMpricing">#REF!</definedName>
    <definedName name="Illumina" localSheetId="12">#REF!</definedName>
    <definedName name="Illumina">#REF!</definedName>
    <definedName name="IonTorrent" localSheetId="12">#REF!</definedName>
    <definedName name="IonTorrent">#REF!</definedName>
    <definedName name="LibConstruction" localSheetId="12">#REF!</definedName>
    <definedName name="LibConstruction">#REF!</definedName>
    <definedName name="LibQuant" localSheetId="12">#REF!</definedName>
    <definedName name="LibQuant">#REF!</definedName>
    <definedName name="LibQuantIL" localSheetId="12">#REF!</definedName>
    <definedName name="LibQuantIL">#REF!</definedName>
    <definedName name="LibQuantIT" localSheetId="12">#REF!</definedName>
    <definedName name="LibQuantIT">#REF!</definedName>
    <definedName name="MicrobiomeSpecies">Sheet1!$A$2:$A$4</definedName>
    <definedName name="MiSeq" localSheetId="12">#REF!</definedName>
    <definedName name="MiSeq">#REF!</definedName>
    <definedName name="Normalizers">Sheet10!$A$1:$C$4</definedName>
    <definedName name="NumberOfPlates">Sheet1!$C$39:$D$44</definedName>
    <definedName name="NumberOfSamples">Sheet5!$A$1:$J$161</definedName>
    <definedName name="PCRCyclers">Sheet1!$G$2:$G$34</definedName>
    <definedName name="PCRFormat">Sheet1!$A$32:$A$36</definedName>
    <definedName name="_xlnm.Print_Area" localSheetId="1">'Workflow products'!$A$1:$L$26</definedName>
    <definedName name="ProdNames" localSheetId="12">#REF!</definedName>
    <definedName name="ProdNames">#REF!</definedName>
    <definedName name="QuantiMIZE" localSheetId="12">#REF!</definedName>
    <definedName name="QuantiMIZE">#REF!</definedName>
    <definedName name="QuantiMIZEArray" localSheetId="12">#REF!</definedName>
    <definedName name="QuantiMIZEArray">#REF!</definedName>
    <definedName name="QuantiMIZEproducts">QuantiMIZE!$A$3:$L$35</definedName>
    <definedName name="SAPIDs">Sheet6!$A$3:$C$11</definedName>
    <definedName name="SAPNames">Sheet9!$A$1:$B$9</definedName>
  </definedNames>
  <calcPr calcId="145621"/>
</workbook>
</file>

<file path=xl/calcChain.xml><?xml version="1.0" encoding="utf-8"?>
<calcChain xmlns="http://schemas.openxmlformats.org/spreadsheetml/2006/main">
  <c r="G13" i="1" l="1"/>
  <c r="L4" i="25" l="1"/>
  <c r="G22" i="25" l="1"/>
  <c r="K22" i="25" s="1"/>
  <c r="G21" i="25"/>
  <c r="K21" i="25" s="1"/>
  <c r="D22" i="25"/>
  <c r="D21" i="25"/>
  <c r="B22" i="25"/>
  <c r="C22" i="25"/>
  <c r="H22" i="25" s="1"/>
  <c r="J22" i="25" s="1"/>
  <c r="C21" i="25"/>
  <c r="H21" i="25" s="1"/>
  <c r="B21" i="25"/>
  <c r="B19" i="25"/>
  <c r="B18" i="25"/>
  <c r="D24" i="25"/>
  <c r="G25" i="25"/>
  <c r="K25" i="25" s="1"/>
  <c r="D25" i="25"/>
  <c r="C25" i="25"/>
  <c r="B25" i="25"/>
  <c r="H25" i="25" s="1"/>
  <c r="J25" i="25" s="1"/>
  <c r="C24" i="25"/>
  <c r="B24" i="25"/>
  <c r="H24" i="25" s="1"/>
  <c r="G24" i="25"/>
  <c r="K24" i="25" s="1"/>
  <c r="L22" i="25" l="1"/>
  <c r="L21" i="25"/>
  <c r="J21" i="25"/>
  <c r="L25" i="25"/>
  <c r="G15" i="25"/>
  <c r="G14" i="25"/>
  <c r="G12" i="25"/>
  <c r="G11" i="25"/>
  <c r="C15" i="25"/>
  <c r="C14" i="25"/>
  <c r="C12" i="25"/>
  <c r="C11" i="25"/>
  <c r="B15" i="25"/>
  <c r="D15" i="25" s="1"/>
  <c r="B14" i="25"/>
  <c r="H14" i="25" s="1"/>
  <c r="J14" i="25" s="1"/>
  <c r="B12" i="25"/>
  <c r="B11" i="25"/>
  <c r="D11" i="25" s="1"/>
  <c r="G11" i="1"/>
  <c r="G20" i="1"/>
  <c r="F1" i="43"/>
  <c r="J18" i="1"/>
  <c r="F1" i="42"/>
  <c r="G2" i="41"/>
  <c r="I9" i="1"/>
  <c r="D14" i="25" l="1"/>
  <c r="D12" i="25"/>
  <c r="H15" i="25"/>
  <c r="J15" i="25" s="1"/>
  <c r="F22" i="1"/>
  <c r="G13" i="25"/>
  <c r="C13" i="25"/>
  <c r="G15" i="1" l="1"/>
  <c r="G16" i="25"/>
  <c r="K16" i="25" s="1"/>
  <c r="G23" i="25"/>
  <c r="G19" i="25"/>
  <c r="G18" i="25"/>
  <c r="G17" i="25"/>
  <c r="J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J61" i="36"/>
  <c r="J62" i="36"/>
  <c r="J63" i="36"/>
  <c r="J64" i="36"/>
  <c r="J65" i="36"/>
  <c r="J66" i="36"/>
  <c r="J67" i="36"/>
  <c r="J68" i="36"/>
  <c r="J69" i="36"/>
  <c r="J70" i="36"/>
  <c r="J71" i="36"/>
  <c r="J72" i="36"/>
  <c r="J73" i="36"/>
  <c r="J74" i="36"/>
  <c r="J75" i="36"/>
  <c r="J76" i="36"/>
  <c r="J77" i="36"/>
  <c r="J78" i="36"/>
  <c r="J79" i="36"/>
  <c r="J80" i="36"/>
  <c r="J81" i="36"/>
  <c r="J82" i="36"/>
  <c r="J83" i="36"/>
  <c r="J84" i="36"/>
  <c r="J85" i="36"/>
  <c r="J86" i="36"/>
  <c r="J87" i="36"/>
  <c r="J88" i="36"/>
  <c r="J89" i="36"/>
  <c r="J90" i="36"/>
  <c r="J91" i="36"/>
  <c r="J92" i="36"/>
  <c r="J93" i="36"/>
  <c r="J94" i="36"/>
  <c r="J95" i="36"/>
  <c r="J96" i="36"/>
  <c r="J97" i="36"/>
  <c r="J98" i="36"/>
  <c r="J99" i="36"/>
  <c r="J100" i="36"/>
  <c r="J101" i="36"/>
  <c r="J102" i="36"/>
  <c r="J103" i="36"/>
  <c r="J104" i="36"/>
  <c r="J105" i="36"/>
  <c r="J106" i="36"/>
  <c r="J107" i="36"/>
  <c r="J108" i="36"/>
  <c r="J109" i="36"/>
  <c r="J110" i="36"/>
  <c r="J111" i="36"/>
  <c r="J112" i="36"/>
  <c r="J113" i="36"/>
  <c r="J114" i="36"/>
  <c r="J115" i="36"/>
  <c r="J116" i="36"/>
  <c r="J117" i="36"/>
  <c r="J118" i="36"/>
  <c r="J119" i="36"/>
  <c r="J120" i="36"/>
  <c r="J121" i="36"/>
  <c r="J122" i="36"/>
  <c r="J123" i="36"/>
  <c r="J124" i="36"/>
  <c r="J125" i="36"/>
  <c r="J126" i="36"/>
  <c r="J127" i="36"/>
  <c r="J128" i="36"/>
  <c r="J129" i="36"/>
  <c r="J130" i="36"/>
  <c r="J131" i="36"/>
  <c r="J132" i="36"/>
  <c r="J133" i="36"/>
  <c r="J134" i="36"/>
  <c r="J135" i="36"/>
  <c r="J136" i="36"/>
  <c r="J137" i="36"/>
  <c r="J138" i="36"/>
  <c r="J139" i="36"/>
  <c r="J140" i="36"/>
  <c r="J141" i="36"/>
  <c r="J142" i="36"/>
  <c r="J143" i="36"/>
  <c r="J144" i="36"/>
  <c r="J145" i="36"/>
  <c r="J146" i="36"/>
  <c r="J147" i="36"/>
  <c r="J148" i="36"/>
  <c r="J149" i="36"/>
  <c r="J150" i="36"/>
  <c r="J151" i="36"/>
  <c r="J152" i="36"/>
  <c r="J153" i="36"/>
  <c r="J154" i="36"/>
  <c r="J155" i="36"/>
  <c r="J156" i="36"/>
  <c r="J157" i="36"/>
  <c r="J158" i="36"/>
  <c r="J159" i="36"/>
  <c r="J160" i="36"/>
  <c r="J161" i="36"/>
  <c r="J2" i="36"/>
  <c r="C16" i="25" l="1"/>
  <c r="C19" i="25"/>
  <c r="C18" i="25"/>
  <c r="C23" i="25"/>
  <c r="C17" i="25"/>
  <c r="F16" i="1"/>
  <c r="L2" i="25" s="1"/>
  <c r="B10" i="25"/>
  <c r="D10" i="25" s="1"/>
  <c r="B23" i="25"/>
  <c r="B17" i="25"/>
  <c r="B16" i="25"/>
  <c r="B13" i="25"/>
  <c r="D13" i="25" s="1"/>
  <c r="K13" i="1"/>
  <c r="D16" i="25" l="1"/>
  <c r="H16" i="25"/>
  <c r="L16" i="25" s="1"/>
  <c r="D18" i="25"/>
  <c r="H18" i="25"/>
  <c r="D19" i="25"/>
  <c r="H19" i="25"/>
  <c r="D23" i="25"/>
  <c r="H23" i="25"/>
  <c r="C10" i="25"/>
  <c r="G10" i="25"/>
  <c r="D17" i="25"/>
  <c r="H17" i="25"/>
  <c r="I15" i="1"/>
  <c r="L5" i="25" s="1"/>
  <c r="G4" i="25"/>
  <c r="D2" i="25"/>
  <c r="J24" i="25" l="1"/>
  <c r="L24" i="25"/>
  <c r="K10" i="25"/>
  <c r="K12" i="25"/>
  <c r="K11" i="25"/>
  <c r="J16" i="25"/>
  <c r="J23" i="25"/>
  <c r="J17" i="25"/>
  <c r="J18" i="25"/>
  <c r="J19" i="25"/>
  <c r="M25" i="25"/>
  <c r="G5" i="25" l="1"/>
  <c r="G2" i="25"/>
  <c r="G3" i="25"/>
  <c r="D5" i="25"/>
  <c r="D4" i="25"/>
  <c r="D3" i="25"/>
  <c r="K14" i="25" l="1"/>
  <c r="L14" i="25" s="1"/>
  <c r="K15" i="25"/>
  <c r="L15" i="25" s="1"/>
  <c r="K23" i="25"/>
  <c r="L23" i="25" s="1"/>
  <c r="K13" i="25"/>
  <c r="K18" i="25"/>
  <c r="L18" i="25" s="1"/>
  <c r="K19" i="25"/>
  <c r="L19" i="25" s="1"/>
  <c r="K17" i="25"/>
  <c r="L17" i="25" s="1"/>
  <c r="H13" i="25"/>
  <c r="L13" i="25" l="1"/>
  <c r="J13" i="25"/>
</calcChain>
</file>

<file path=xl/sharedStrings.xml><?xml version="1.0" encoding="utf-8"?>
<sst xmlns="http://schemas.openxmlformats.org/spreadsheetml/2006/main" count="1745" uniqueCount="364">
  <si>
    <t>Thermocycler</t>
  </si>
  <si>
    <t>ABI 5700</t>
  </si>
  <si>
    <t>ABI 7000</t>
  </si>
  <si>
    <t>ABI 7300</t>
  </si>
  <si>
    <t>ABI 7700</t>
  </si>
  <si>
    <t>ABI 7500 Std 96-well block</t>
  </si>
  <si>
    <t>ABI 7900HT (96-well Std block)</t>
  </si>
  <si>
    <t>ABI ViiA 7 (96-well Std block)</t>
  </si>
  <si>
    <t>ABI 7500 FAST 96-well block</t>
  </si>
  <si>
    <t>ABI 7900HT FAST 96-well block</t>
  </si>
  <si>
    <t>ABI StepOnePlus</t>
  </si>
  <si>
    <t>ABI ViiA 7 (96-well FAST block)</t>
  </si>
  <si>
    <t>ABI 7900HT 384</t>
  </si>
  <si>
    <t>ABI ViiA 7 (384-well block)</t>
  </si>
  <si>
    <t>BioRad CFX384</t>
  </si>
  <si>
    <t>BioRad CFX96</t>
  </si>
  <si>
    <t>BioRad Opticon (2)</t>
  </si>
  <si>
    <t>BioRad Chromo 4</t>
  </si>
  <si>
    <t>BioRad iCycler</t>
  </si>
  <si>
    <t>BioRad iQ5</t>
  </si>
  <si>
    <t>BioRad MyiQ</t>
  </si>
  <si>
    <t>BioRad MyiQ2</t>
  </si>
  <si>
    <t>Eppendorf Mastercycler ep realplex 2</t>
  </si>
  <si>
    <t>Eppendorf Mastercycler ep realplex 2S</t>
  </si>
  <si>
    <t>Eppendorf Mastercycler ep realplex 4</t>
  </si>
  <si>
    <t>Eppendorf Mastercycler ep realplex 4S</t>
  </si>
  <si>
    <t>QIAGEN Rotor Gene (6000)</t>
  </si>
  <si>
    <t>QIAGEN Rotor Gene Q</t>
  </si>
  <si>
    <t>Roche Light Cycler 480 384-well block</t>
  </si>
  <si>
    <t>Roche Light Cycler 480 96-well block</t>
  </si>
  <si>
    <t>Stratagene Mx3000p</t>
  </si>
  <si>
    <t>Stratagene Mx3005p</t>
  </si>
  <si>
    <t>Stratagene Mx4000</t>
  </si>
  <si>
    <t>Takara TP-800</t>
  </si>
  <si>
    <t>NGQA-002RA-2</t>
  </si>
  <si>
    <t>NGQC-100Y-R</t>
  </si>
  <si>
    <t>SAP ID</t>
  </si>
  <si>
    <t>Variant</t>
  </si>
  <si>
    <t>Name</t>
  </si>
  <si>
    <t># samples</t>
  </si>
  <si>
    <t>Price</t>
  </si>
  <si>
    <t>Arrays</t>
  </si>
  <si>
    <t>Assays</t>
  </si>
  <si>
    <t>NGQA-002RC-2</t>
  </si>
  <si>
    <t>NGQA-002ND-2</t>
  </si>
  <si>
    <t>NGQA-002NA-2</t>
  </si>
  <si>
    <t>NGQA-002FA-2</t>
  </si>
  <si>
    <t>NGQA-002QR-2</t>
  </si>
  <si>
    <t>NGQA-002NF-2</t>
  </si>
  <si>
    <t>NGQA-002RD-2</t>
  </si>
  <si>
    <t>GeneRead DNA QuantiMIZE Array Kit</t>
  </si>
  <si>
    <t>GeneRead DNA QuantiMIZE Assay Kit</t>
  </si>
  <si>
    <t>NGQC-100Y-N</t>
  </si>
  <si>
    <t>NGQC-100Y-F</t>
  </si>
  <si>
    <t>NGQC-100Y-Q</t>
  </si>
  <si>
    <t>Catalog (Variant) #</t>
  </si>
  <si>
    <t>Notes</t>
  </si>
  <si>
    <t>Input</t>
  </si>
  <si>
    <t>Parameter</t>
  </si>
  <si>
    <t>Real-time PCR cycler?</t>
  </si>
  <si>
    <t>Price/sample</t>
  </si>
  <si>
    <t>R-2</t>
  </si>
  <si>
    <t>A-2</t>
  </si>
  <si>
    <t>C-2</t>
  </si>
  <si>
    <t>D-2</t>
  </si>
  <si>
    <t>E-1</t>
  </si>
  <si>
    <t>F-2</t>
  </si>
  <si>
    <t>G-1</t>
  </si>
  <si>
    <r>
      <t xml:space="preserve">Totals needed to process </t>
    </r>
    <r>
      <rPr>
        <b/>
        <sz val="11"/>
        <color rgb="FF00B050"/>
        <rFont val="Calibri"/>
        <family val="2"/>
        <scheme val="minor"/>
      </rPr>
      <t>(n)</t>
    </r>
    <r>
      <rPr>
        <b/>
        <sz val="11"/>
        <color theme="1"/>
        <rFont val="Calibri"/>
        <family val="2"/>
        <scheme val="minor"/>
      </rPr>
      <t xml:space="preserve"> samples</t>
    </r>
  </si>
  <si>
    <t>Totals</t>
  </si>
  <si>
    <t>Total number of samples to be processed (n)?</t>
  </si>
  <si>
    <r>
      <t xml:space="preserve">Total number of samples to be processed </t>
    </r>
    <r>
      <rPr>
        <sz val="11"/>
        <color rgb="FF00B050"/>
        <rFont val="Calibri"/>
        <family val="2"/>
        <scheme val="minor"/>
      </rPr>
      <t>(n)</t>
    </r>
  </si>
  <si>
    <t>NGQA-002RE-1</t>
  </si>
  <si>
    <t>NGQA-002NE-1</t>
  </si>
  <si>
    <t>NGQA-002NG-1</t>
  </si>
  <si>
    <t>Microbiome species?</t>
  </si>
  <si>
    <t>Analysis type</t>
  </si>
  <si>
    <t>Bacteria</t>
  </si>
  <si>
    <t>Identification</t>
  </si>
  <si>
    <t>Profiling</t>
  </si>
  <si>
    <t>Both</t>
  </si>
  <si>
    <t>Antibiotic Resistance Genes</t>
  </si>
  <si>
    <t>Bacterial Vaginosis</t>
  </si>
  <si>
    <t>Biodefense</t>
  </si>
  <si>
    <t>Food testing: Dairy</t>
  </si>
  <si>
    <t>Food testing: Meat</t>
  </si>
  <si>
    <t>Food testing: Poultry</t>
  </si>
  <si>
    <t>Food testing: Seafood</t>
  </si>
  <si>
    <t>Food testing: Vegetable</t>
  </si>
  <si>
    <t>Intestinal infections</t>
  </si>
  <si>
    <t>Respiratory Infections</t>
  </si>
  <si>
    <t xml:space="preserve">Sepsis </t>
  </si>
  <si>
    <t>Urinary Tract Infections</t>
  </si>
  <si>
    <t xml:space="preserve">Vaginal Flora </t>
  </si>
  <si>
    <t>Water Analysis</t>
  </si>
  <si>
    <t>Metabolic Disorders</t>
  </si>
  <si>
    <t>Oral Disease</t>
  </si>
  <si>
    <t>Cataloged array</t>
  </si>
  <si>
    <t>Assay (100 samples)</t>
  </si>
  <si>
    <t>Assay Kit (20 samples)</t>
  </si>
  <si>
    <t>Custom array</t>
  </si>
  <si>
    <t>Custom assay</t>
  </si>
  <si>
    <t>BAID-1901ZRA</t>
  </si>
  <si>
    <t>BAID-1401ZRA</t>
  </si>
  <si>
    <t>BAID-1201ZRA</t>
  </si>
  <si>
    <t>BAID-1402ZRA</t>
  </si>
  <si>
    <t>BAID-1202ZRA</t>
  </si>
  <si>
    <t>BAID-1101ZRA</t>
  </si>
  <si>
    <t>BAID-1102ZRA</t>
  </si>
  <si>
    <t>BAID-1103ZRA</t>
  </si>
  <si>
    <t>BAID-1403ZRA</t>
  </si>
  <si>
    <t>BAID-1903ZRA</t>
  </si>
  <si>
    <t>BAID-1205ZRA</t>
  </si>
  <si>
    <t>BAID-1902ZRA</t>
  </si>
  <si>
    <t>BAID-1405ZRA</t>
  </si>
  <si>
    <t>BAID-1406ZRA</t>
  </si>
  <si>
    <t>BAID-1904ZRA</t>
  </si>
  <si>
    <t>BAID-1901ZRC</t>
  </si>
  <si>
    <t>BAID-1401ZRC</t>
  </si>
  <si>
    <t>BAID-1201ZRC</t>
  </si>
  <si>
    <t>BAID-1402ZRC</t>
  </si>
  <si>
    <t>BAID-1202ZRC</t>
  </si>
  <si>
    <t>BAID-1101ZRC</t>
  </si>
  <si>
    <t>BAID-1102ZRC</t>
  </si>
  <si>
    <t>BAID-1103ZRC</t>
  </si>
  <si>
    <t>BAID-1403ZRC</t>
  </si>
  <si>
    <t>BAID-1903ZRC</t>
  </si>
  <si>
    <t>BAID-1205ZRC</t>
  </si>
  <si>
    <t>BAID-1902ZRC</t>
  </si>
  <si>
    <t>BAID-1405ZRC</t>
  </si>
  <si>
    <t>BAID-1406ZRC</t>
  </si>
  <si>
    <t>BAID-1904ZRC</t>
  </si>
  <si>
    <t>BAID-1901ZRE</t>
  </si>
  <si>
    <t>BAID-1401ZRE</t>
  </si>
  <si>
    <t>BAID-1201ZRE</t>
  </si>
  <si>
    <t>BAID-1402ZRE</t>
  </si>
  <si>
    <t>BAID-1202ZRE</t>
  </si>
  <si>
    <t>BAID-1101ZRE</t>
  </si>
  <si>
    <t>BAID-1102ZRE</t>
  </si>
  <si>
    <t>BAID-1103ZRE</t>
  </si>
  <si>
    <t>BAID-1403ZRE</t>
  </si>
  <si>
    <t>BAID-1903ZRE</t>
  </si>
  <si>
    <t>BAID-1205ZRE</t>
  </si>
  <si>
    <t>BAID-1902ZRE</t>
  </si>
  <si>
    <t>BAID-1405ZRE</t>
  </si>
  <si>
    <t>BAID-1406ZRE</t>
  </si>
  <si>
    <t>BAID-1904ZRE</t>
  </si>
  <si>
    <t>BAID-1901ZFE</t>
  </si>
  <si>
    <t>BAID-1401ZFE</t>
  </si>
  <si>
    <t>BAID-1201ZFE</t>
  </si>
  <si>
    <t>BAID-1402ZFE</t>
  </si>
  <si>
    <t>BAID-1202ZFE</t>
  </si>
  <si>
    <t>BAID-1101ZFE</t>
  </si>
  <si>
    <t>BAID-1102ZFE</t>
  </si>
  <si>
    <t>BAID-1103ZFE</t>
  </si>
  <si>
    <t>BAID-1403ZFE</t>
  </si>
  <si>
    <t>BAID-1903ZFE</t>
  </si>
  <si>
    <t>BAID-1205ZFE</t>
  </si>
  <si>
    <t>BAID-1902ZFE</t>
  </si>
  <si>
    <t>BAID-1405ZFE</t>
  </si>
  <si>
    <t>BAID-1406ZFE</t>
  </si>
  <si>
    <t>BAID-1904ZFE</t>
  </si>
  <si>
    <t>BAID-1901ZFD</t>
  </si>
  <si>
    <t>BAID-1401ZFD</t>
  </si>
  <si>
    <t>BAID-1201ZFD</t>
  </si>
  <si>
    <t>BAID-1402ZFD</t>
  </si>
  <si>
    <t>BAID-1202ZFD</t>
  </si>
  <si>
    <t>BAID-1101ZFD</t>
  </si>
  <si>
    <t>BAID-1102ZFD</t>
  </si>
  <si>
    <t>BAID-1103ZFD</t>
  </si>
  <si>
    <t>BAID-1403ZFD</t>
  </si>
  <si>
    <t>BAID-1903ZFD</t>
  </si>
  <si>
    <t>BAID-1205ZFD</t>
  </si>
  <si>
    <t>BAID-1902ZFD</t>
  </si>
  <si>
    <t>BAID-1405ZFD</t>
  </si>
  <si>
    <t>BAID-1406ZFD</t>
  </si>
  <si>
    <t>BAID-1904ZFD</t>
  </si>
  <si>
    <t>BAID-1901ZFA</t>
  </si>
  <si>
    <t>BAID-1401ZFA</t>
  </si>
  <si>
    <t>BAID-1201ZFA</t>
  </si>
  <si>
    <t>BAID-1402ZFA</t>
  </si>
  <si>
    <t>BAID-1202ZFA</t>
  </si>
  <si>
    <t>BAID-1101ZFA</t>
  </si>
  <si>
    <t>BAID-1102ZFA</t>
  </si>
  <si>
    <t>BAID-1103ZFA</t>
  </si>
  <si>
    <t>BAID-1403ZFA</t>
  </si>
  <si>
    <t>BAID-1903ZFA</t>
  </si>
  <si>
    <t>BAID-1205ZFA</t>
  </si>
  <si>
    <t>BAID-1902ZFA</t>
  </si>
  <si>
    <t>BAID-1405ZFA</t>
  </si>
  <si>
    <t>BAID-1406ZFA</t>
  </si>
  <si>
    <t>BAID-1904ZFA</t>
  </si>
  <si>
    <t>BAID-1901ZRR</t>
  </si>
  <si>
    <t>BAID-1401ZRR</t>
  </si>
  <si>
    <t>BAID-1201ZRR</t>
  </si>
  <si>
    <t>BAID-1402ZRR</t>
  </si>
  <si>
    <t>BAID-1202ZRR</t>
  </si>
  <si>
    <t>BAID-1101ZRR</t>
  </si>
  <si>
    <t>BAID-1102ZRR</t>
  </si>
  <si>
    <t>BAID-1103ZRR</t>
  </si>
  <si>
    <t>BAID-1403ZRR</t>
  </si>
  <si>
    <t>BAID-1903ZRR</t>
  </si>
  <si>
    <t>BAID-1205ZRR</t>
  </si>
  <si>
    <t>BAID-1902ZRR</t>
  </si>
  <si>
    <t>BAID-1405ZRR</t>
  </si>
  <si>
    <t>BAID-1406ZRR</t>
  </si>
  <si>
    <t>BAID-1904ZRR</t>
  </si>
  <si>
    <t>BAID-1901ZFG</t>
  </si>
  <si>
    <t>BAID-1401ZFG</t>
  </si>
  <si>
    <t>BAID-1201ZFG</t>
  </si>
  <si>
    <t>BAID-1402ZFG</t>
  </si>
  <si>
    <t>BAID-1202ZFG</t>
  </si>
  <si>
    <t>BAID-1101ZFG</t>
  </si>
  <si>
    <t>BAID-1102ZFG</t>
  </si>
  <si>
    <t>BAID-1103ZFG</t>
  </si>
  <si>
    <t>BAID-1403ZFG</t>
  </si>
  <si>
    <t>BAID-1903ZFG</t>
  </si>
  <si>
    <t>BAID-1205ZFG</t>
  </si>
  <si>
    <t>BAID-1902ZFG</t>
  </si>
  <si>
    <t>BAID-1405ZFG</t>
  </si>
  <si>
    <t>BAID-1406ZFG</t>
  </si>
  <si>
    <t>BAID-1904ZFG</t>
  </si>
  <si>
    <t>BAID-1901ZFF</t>
  </si>
  <si>
    <t>BAID-1401ZFF</t>
  </si>
  <si>
    <t>BAID-1201ZFF</t>
  </si>
  <si>
    <t>BAID-1402ZFF</t>
  </si>
  <si>
    <t>BAID-1202ZFF</t>
  </si>
  <si>
    <t>BAID-1101ZFF</t>
  </si>
  <si>
    <t>BAID-1102ZFF</t>
  </si>
  <si>
    <t>BAID-1103ZFF</t>
  </si>
  <si>
    <t>BAID-1403ZFF</t>
  </si>
  <si>
    <t>BAID-1903ZFF</t>
  </si>
  <si>
    <t>BAID-1205ZFF</t>
  </si>
  <si>
    <t>BAID-1902ZFF</t>
  </si>
  <si>
    <t>BAID-1405ZFF</t>
  </si>
  <si>
    <t>BAID-1406ZFF</t>
  </si>
  <si>
    <t>BAID-1904ZFF</t>
  </si>
  <si>
    <t>BAID-1901ZRD</t>
  </si>
  <si>
    <t>BAID-1401ZRD</t>
  </si>
  <si>
    <t>BAID-1201ZRD</t>
  </si>
  <si>
    <t>BAID-1402ZRD</t>
  </si>
  <si>
    <t>BAID-1202ZRD</t>
  </si>
  <si>
    <t>BAID-1101ZRD</t>
  </si>
  <si>
    <t>BAID-1102ZRD</t>
  </si>
  <si>
    <t>BAID-1103ZRD</t>
  </si>
  <si>
    <t>BAID-1403ZRD</t>
  </si>
  <si>
    <t>BAID-1903ZRD</t>
  </si>
  <si>
    <t>BAID-1205ZRD</t>
  </si>
  <si>
    <t>BAID-1902ZRD</t>
  </si>
  <si>
    <t>BAID-1405ZRD</t>
  </si>
  <si>
    <t>BAID-1406ZRD</t>
  </si>
  <si>
    <t>BAID-1904ZRD</t>
  </si>
  <si>
    <t>A-12</t>
  </si>
  <si>
    <t>A-24</t>
  </si>
  <si>
    <t>C-12</t>
  </si>
  <si>
    <t>C-24</t>
  </si>
  <si>
    <t>E-4</t>
  </si>
  <si>
    <t>E-16</t>
  </si>
  <si>
    <t>D-12</t>
  </si>
  <si>
    <t>D-24</t>
  </si>
  <si>
    <t>R-12</t>
  </si>
  <si>
    <t>R-24</t>
  </si>
  <si>
    <t>G-4</t>
  </si>
  <si>
    <t>G-16</t>
  </si>
  <si>
    <t>F-12</t>
  </si>
  <si>
    <t>F-24</t>
  </si>
  <si>
    <t>Microbiome species</t>
  </si>
  <si>
    <t>Microbial DNA qPCR Assays</t>
  </si>
  <si>
    <t>Microbial DNA qPCR Assay Kits</t>
  </si>
  <si>
    <t>Supplemental Mircobial qPCR MM (ROX)</t>
  </si>
  <si>
    <t>Supplemental Mircobial qPCR MM (Fluor)</t>
  </si>
  <si>
    <t>Microbial DNA-Free Water</t>
  </si>
  <si>
    <t xml:space="preserve">Microbial DNA Positive Control </t>
  </si>
  <si>
    <t>Custom Microbial DNA qPCR Arrays</t>
  </si>
  <si>
    <t>Microbial DNA qPCR Arrays</t>
  </si>
  <si>
    <t>Pricing key</t>
  </si>
  <si>
    <t>CBA3812-6</t>
  </si>
  <si>
    <t>CBA3838-24</t>
  </si>
  <si>
    <t>CBA3896-6</t>
  </si>
  <si>
    <t>CBA9612-12</t>
  </si>
  <si>
    <t>CBA9696-24</t>
  </si>
  <si>
    <t>Custom Array</t>
  </si>
  <si>
    <t>Custom Assay</t>
  </si>
  <si>
    <t>Cataloged assay</t>
  </si>
  <si>
    <t>8 to 16</t>
  </si>
  <si>
    <t>24 to 128</t>
  </si>
  <si>
    <t>192 to 384</t>
  </si>
  <si>
    <t>1 (for 384-well plates)</t>
  </si>
  <si>
    <t>2 (for 96-well plates)</t>
  </si>
  <si>
    <t>4 (for 384-well plates)</t>
  </si>
  <si>
    <t>12 (for 96-well plates)</t>
  </si>
  <si>
    <t>16 (for 384-well plates)</t>
  </si>
  <si>
    <t>24 (for 96-well plates)</t>
  </si>
  <si>
    <t>Number of plates (automatically populated)</t>
  </si>
  <si>
    <t>Miscellaneous product for assay kits</t>
  </si>
  <si>
    <t>338132</t>
  </si>
  <si>
    <t>338134</t>
  </si>
  <si>
    <t>Number of samples</t>
  </si>
  <si>
    <t>Number of wells</t>
  </si>
  <si>
    <t>Number of genes</t>
  </si>
  <si>
    <t>BAID-1404ZRA</t>
  </si>
  <si>
    <t>BAID-1404ZRC</t>
  </si>
  <si>
    <t>BAID-1404ZRE</t>
  </si>
  <si>
    <t>BAID-1404ZFE</t>
  </si>
  <si>
    <t>BAID-1404ZFD</t>
  </si>
  <si>
    <t>BAID-1404ZFA</t>
  </si>
  <si>
    <t>BAID-1404ZRR</t>
  </si>
  <si>
    <t>BAID-1404ZFG</t>
  </si>
  <si>
    <t>BAID-1404ZFF</t>
  </si>
  <si>
    <t>BAID-1404ZRD</t>
  </si>
  <si>
    <t>Custom Microbial DNA qPCR Assays</t>
  </si>
  <si>
    <t>Product Format</t>
  </si>
  <si>
    <t>Number of microbiome species for custom arrays</t>
  </si>
  <si>
    <t>Number of cataloged arrays</t>
  </si>
  <si>
    <t>Samples</t>
  </si>
  <si>
    <t>Format</t>
  </si>
  <si>
    <t>not applicable</t>
  </si>
  <si>
    <t>8 (for 96-well array)</t>
  </si>
  <si>
    <t>12 (for 96-well array)</t>
  </si>
  <si>
    <t>16 (for 96-well array)</t>
  </si>
  <si>
    <t>24 (for 96-well array)</t>
  </si>
  <si>
    <t>32 (for 96-well array)</t>
  </si>
  <si>
    <t>48 (for 96-well array)</t>
  </si>
  <si>
    <t>64 (for 96-well array)</t>
  </si>
  <si>
    <t>96 (for 96-well array)</t>
  </si>
  <si>
    <t>384 (for 384-well array)</t>
  </si>
  <si>
    <t>192 (for 384-well array)</t>
  </si>
  <si>
    <t>128 (for 384-well array)</t>
  </si>
  <si>
    <t>96 (for 384-well array)</t>
  </si>
  <si>
    <t>64 (for 384-well array)</t>
  </si>
  <si>
    <t>48 (for 384-well array)</t>
  </si>
  <si>
    <t>32 (for 384-well array)</t>
  </si>
  <si>
    <t>24 (for 384-well array)</t>
  </si>
  <si>
    <t>16 (for 384-well array)</t>
  </si>
  <si>
    <t>12 (for 384-well array)</t>
  </si>
  <si>
    <t>8 (for 384-well array)</t>
  </si>
  <si>
    <t>Number of speices</t>
  </si>
  <si>
    <t>N/A</t>
  </si>
  <si>
    <t>BPCL00360A</t>
  </si>
  <si>
    <t>BPCL00362A</t>
  </si>
  <si>
    <t>BPCL00359A</t>
  </si>
  <si>
    <t>Fungus</t>
  </si>
  <si>
    <t>Yeast</t>
  </si>
  <si>
    <t>Pan bacteria 1 Normalizer</t>
  </si>
  <si>
    <t>Pan bacteria 3 Normalizer</t>
  </si>
  <si>
    <t>Pan Aspergillus/Candida Normalizer</t>
  </si>
  <si>
    <r>
      <t xml:space="preserve">Custom arrays required to run samples </t>
    </r>
    <r>
      <rPr>
        <sz val="11"/>
        <color rgb="FF00B050"/>
        <rFont val="Calibri"/>
        <family val="2"/>
        <scheme val="minor"/>
      </rPr>
      <t>(n)</t>
    </r>
  </si>
  <si>
    <t>Pick the appropriate number of arrays that match the cycler</t>
  </si>
  <si>
    <r>
      <t xml:space="preserve">If </t>
    </r>
    <r>
      <rPr>
        <b/>
        <sz val="12"/>
        <color theme="1"/>
        <rFont val="Calibri"/>
        <family val="2"/>
        <scheme val="minor"/>
      </rPr>
      <t>Cataloged</t>
    </r>
    <r>
      <rPr>
        <sz val="12"/>
        <color theme="1"/>
        <rFont val="Calibri"/>
        <family val="2"/>
        <scheme val="minor"/>
      </rPr>
      <t xml:space="preserve"> array, what application?</t>
    </r>
  </si>
  <si>
    <r>
      <t xml:space="preserve">If </t>
    </r>
    <r>
      <rPr>
        <b/>
        <sz val="12"/>
        <color theme="1"/>
        <rFont val="Calibri"/>
        <family val="2"/>
        <scheme val="minor"/>
      </rPr>
      <t>Cataloged</t>
    </r>
    <r>
      <rPr>
        <sz val="12"/>
        <color theme="1"/>
        <rFont val="Calibri"/>
        <family val="2"/>
        <scheme val="minor"/>
      </rPr>
      <t xml:space="preserve"> array, number of arrays?</t>
    </r>
  </si>
  <si>
    <r>
      <t xml:space="preserve">For </t>
    </r>
    <r>
      <rPr>
        <b/>
        <sz val="12"/>
        <color theme="1"/>
        <rFont val="Calibri"/>
        <family val="2"/>
        <scheme val="minor"/>
      </rPr>
      <t>Custom</t>
    </r>
    <r>
      <rPr>
        <sz val="12"/>
        <color theme="1"/>
        <rFont val="Calibri"/>
        <family val="2"/>
        <scheme val="minor"/>
      </rPr>
      <t xml:space="preserve"> arrays, minimum number of arrays per order (automatically populated)</t>
    </r>
  </si>
  <si>
    <t>Product format?</t>
  </si>
  <si>
    <r>
      <t xml:space="preserve">If </t>
    </r>
    <r>
      <rPr>
        <b/>
        <sz val="12"/>
        <color theme="1"/>
        <rFont val="Calibri"/>
        <family val="2"/>
        <scheme val="minor"/>
      </rPr>
      <t>Custom</t>
    </r>
    <r>
      <rPr>
        <sz val="12"/>
        <color theme="1"/>
        <rFont val="Calibri"/>
        <family val="2"/>
        <scheme val="minor"/>
      </rPr>
      <t xml:space="preserve"> arrays, enter number of microbiome species</t>
    </r>
  </si>
  <si>
    <t>Water analysis</t>
  </si>
  <si>
    <t>Manual entry</t>
  </si>
  <si>
    <t>Microbial arrays / assays workflow specifications</t>
  </si>
  <si>
    <t>For custom arrays, minimum number of arrays per order</t>
  </si>
  <si>
    <t>Cataloged array application</t>
  </si>
  <si>
    <t>Real-time PCR cycler</t>
  </si>
  <si>
    <t>Miscellaneous products for assays</t>
  </si>
  <si>
    <t>Cataloged assay kit</t>
  </si>
  <si>
    <t>Microbial workflow kits required</t>
  </si>
  <si>
    <t># samples / array</t>
  </si>
  <si>
    <t># kits (orders)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</si>
</sst>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EBB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</borders>
  <cellStyleXfs count="2">
    <xf numFmtId="0" fontId="0" fillId="0" borderId="0"/>
    <xf numFmtId="0" fontId="9" fillId="0" borderId="0">
      <alignment vertical="top"/>
    </xf>
  </cellStyleXfs>
  <cellXfs count="191">
    <xf numFmtId="0" fontId="0" fillId="0" borderId="0" xfId="0"/>
    <xf numFmtId="0" fontId="0" fillId="0" borderId="0" xfId="0" applyBorder="1"/>
    <xf numFmtId="0" fontId="0" fillId="0" borderId="0" xfId="0" quotePrefix="1"/>
    <xf numFmtId="0" fontId="0" fillId="0" borderId="1" xfId="0" applyBorder="1"/>
    <xf numFmtId="0" fontId="0" fillId="0" borderId="0" xfId="0" applyFont="1" applyAlignment="1">
      <alignment vertical="center"/>
    </xf>
    <xf numFmtId="0" fontId="3" fillId="6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8" borderId="0" xfId="0" applyFill="1" applyAlignment="1" applyProtection="1">
      <alignment horizontal="center" vertical="center"/>
    </xf>
    <xf numFmtId="0" fontId="0" fillId="8" borderId="0" xfId="0" applyFill="1" applyProtection="1"/>
    <xf numFmtId="0" fontId="0" fillId="8" borderId="0" xfId="0" applyFill="1" applyAlignment="1" applyProtection="1">
      <alignment horizontal="center" vertical="center" wrapText="1"/>
    </xf>
    <xf numFmtId="0" fontId="0" fillId="0" borderId="3" xfId="0" applyBorder="1" applyProtection="1"/>
    <xf numFmtId="0" fontId="5" fillId="0" borderId="5" xfId="0" applyFont="1" applyBorder="1" applyAlignment="1" applyProtection="1">
      <alignment horizontal="center" vertical="center"/>
    </xf>
    <xf numFmtId="0" fontId="5" fillId="8" borderId="3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4" xfId="0" applyBorder="1" applyProtection="1"/>
    <xf numFmtId="0" fontId="10" fillId="4" borderId="1" xfId="0" applyFont="1" applyFill="1" applyBorder="1" applyAlignment="1" applyProtection="1">
      <alignment horizontal="center" vertical="center"/>
    </xf>
    <xf numFmtId="0" fontId="11" fillId="8" borderId="26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 applyProtection="1">
      <alignment horizontal="center" vertical="center"/>
    </xf>
    <xf numFmtId="0" fontId="11" fillId="8" borderId="36" xfId="0" applyFont="1" applyFill="1" applyBorder="1" applyAlignment="1" applyProtection="1">
      <alignment horizontal="center" vertical="center"/>
    </xf>
    <xf numFmtId="0" fontId="11" fillId="8" borderId="12" xfId="0" applyFont="1" applyFill="1" applyBorder="1" applyAlignment="1" applyProtection="1">
      <alignment horizontal="center" vertical="center"/>
    </xf>
    <xf numFmtId="0" fontId="5" fillId="8" borderId="36" xfId="0" applyFont="1" applyFill="1" applyBorder="1" applyAlignment="1" applyProtection="1">
      <alignment horizontal="center" vertical="center" wrapText="1"/>
    </xf>
    <xf numFmtId="0" fontId="0" fillId="8" borderId="3" xfId="0" applyFill="1" applyBorder="1" applyProtection="1"/>
    <xf numFmtId="0" fontId="6" fillId="8" borderId="16" xfId="0" applyFont="1" applyFill="1" applyBorder="1" applyAlignment="1" applyProtection="1">
      <alignment vertical="center"/>
    </xf>
    <xf numFmtId="0" fontId="6" fillId="8" borderId="36" xfId="0" applyFont="1" applyFill="1" applyBorder="1" applyAlignment="1" applyProtection="1">
      <alignment vertical="center"/>
    </xf>
    <xf numFmtId="0" fontId="5" fillId="8" borderId="0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center" vertical="center" wrapText="1"/>
    </xf>
    <xf numFmtId="0" fontId="5" fillId="9" borderId="24" xfId="0" applyFont="1" applyFill="1" applyBorder="1" applyAlignment="1" applyProtection="1">
      <alignment horizontal="center" vertical="center" wrapText="1"/>
    </xf>
    <xf numFmtId="0" fontId="5" fillId="9" borderId="23" xfId="0" applyFont="1" applyFill="1" applyBorder="1" applyAlignment="1" applyProtection="1">
      <alignment horizontal="center" vertical="center" wrapText="1"/>
    </xf>
    <xf numFmtId="0" fontId="5" fillId="9" borderId="27" xfId="0" applyFont="1" applyFill="1" applyBorder="1" applyAlignment="1" applyProtection="1">
      <alignment horizontal="center" vertical="center" wrapText="1"/>
    </xf>
    <xf numFmtId="0" fontId="5" fillId="9" borderId="25" xfId="0" applyFont="1" applyFill="1" applyBorder="1" applyAlignment="1" applyProtection="1">
      <alignment horizontal="center" vertical="center" wrapText="1"/>
    </xf>
    <xf numFmtId="0" fontId="5" fillId="9" borderId="25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 wrapText="1"/>
    </xf>
    <xf numFmtId="0" fontId="5" fillId="8" borderId="38" xfId="0" applyFont="1" applyFill="1" applyBorder="1" applyAlignment="1" applyProtection="1">
      <alignment horizontal="center" vertical="center"/>
    </xf>
    <xf numFmtId="0" fontId="5" fillId="10" borderId="35" xfId="0" applyFont="1" applyFill="1" applyBorder="1" applyAlignment="1" applyProtection="1">
      <alignment horizontal="center" vertical="center"/>
    </xf>
    <xf numFmtId="0" fontId="0" fillId="8" borderId="36" xfId="0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2" fontId="0" fillId="8" borderId="0" xfId="0" applyNumberFormat="1" applyFill="1" applyAlignment="1" applyProtection="1">
      <alignment horizontal="center" vertical="center"/>
    </xf>
    <xf numFmtId="0" fontId="0" fillId="8" borderId="36" xfId="0" applyFill="1" applyBorder="1" applyProtection="1"/>
    <xf numFmtId="0" fontId="0" fillId="8" borderId="0" xfId="0" applyFill="1" applyAlignment="1" applyProtection="1">
      <alignment vertical="center" wrapText="1"/>
    </xf>
    <xf numFmtId="0" fontId="0" fillId="8" borderId="0" xfId="0" applyFill="1" applyAlignment="1" applyProtection="1">
      <alignment vertical="center"/>
    </xf>
    <xf numFmtId="0" fontId="3" fillId="8" borderId="0" xfId="0" applyFont="1" applyFill="1" applyProtection="1"/>
    <xf numFmtId="0" fontId="13" fillId="8" borderId="0" xfId="0" applyFont="1" applyFill="1" applyAlignment="1" applyProtection="1">
      <alignment vertical="center"/>
    </xf>
    <xf numFmtId="0" fontId="0" fillId="0" borderId="0" xfId="0" applyProtection="1"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0" fontId="3" fillId="8" borderId="0" xfId="0" applyFont="1" applyFill="1" applyBorder="1" applyAlignment="1" applyProtection="1">
      <alignment horizontal="center" vertical="center"/>
      <protection hidden="1"/>
    </xf>
    <xf numFmtId="0" fontId="0" fillId="8" borderId="0" xfId="0" applyFill="1" applyProtection="1">
      <protection hidden="1"/>
    </xf>
    <xf numFmtId="0" fontId="1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0" borderId="0" xfId="0" applyFont="1" applyAlignment="1">
      <alignment horizontal="left" vertical="center"/>
    </xf>
    <xf numFmtId="0" fontId="5" fillId="9" borderId="29" xfId="0" applyFont="1" applyFill="1" applyBorder="1" applyAlignment="1" applyProtection="1">
      <alignment vertical="center" wrapText="1"/>
    </xf>
    <xf numFmtId="0" fontId="5" fillId="9" borderId="39" xfId="0" applyFont="1" applyFill="1" applyBorder="1" applyAlignment="1" applyProtection="1">
      <alignment vertical="center" wrapText="1"/>
    </xf>
    <xf numFmtId="0" fontId="5" fillId="9" borderId="32" xfId="0" applyFont="1" applyFill="1" applyBorder="1" applyAlignment="1" applyProtection="1">
      <alignment vertical="center" wrapText="1"/>
    </xf>
    <xf numFmtId="0" fontId="7" fillId="3" borderId="40" xfId="0" applyFont="1" applyFill="1" applyBorder="1" applyAlignment="1" applyProtection="1">
      <alignment vertical="center" wrapText="1"/>
    </xf>
    <xf numFmtId="0" fontId="0" fillId="0" borderId="42" xfId="0" applyBorder="1"/>
    <xf numFmtId="1" fontId="0" fillId="2" borderId="1" xfId="0" applyNumberFormat="1" applyFill="1" applyBorder="1" applyAlignment="1" applyProtection="1">
      <alignment horizontal="center" vertical="center"/>
      <protection hidden="1"/>
    </xf>
    <xf numFmtId="2" fontId="0" fillId="2" borderId="1" xfId="0" applyNumberFormat="1" applyFill="1" applyBorder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2" fontId="0" fillId="5" borderId="1" xfId="0" applyNumberFormat="1" applyFill="1" applyBorder="1" applyAlignment="1" applyProtection="1">
      <alignment horizontal="center" vertical="center"/>
      <protection hidden="1"/>
    </xf>
    <xf numFmtId="0" fontId="0" fillId="0" borderId="0" xfId="0" quotePrefix="1" applyFont="1" applyAlignment="1">
      <alignment horizontal="left" vertical="center"/>
    </xf>
    <xf numFmtId="0" fontId="0" fillId="2" borderId="0" xfId="0" applyFill="1" applyAlignment="1" applyProtection="1">
      <alignment horizontal="center" vertical="center" wrapText="1"/>
      <protection hidden="1"/>
    </xf>
    <xf numFmtId="0" fontId="5" fillId="9" borderId="2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/>
    </xf>
    <xf numFmtId="0" fontId="5" fillId="10" borderId="30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3" borderId="42" xfId="0" applyFill="1" applyBorder="1" applyAlignment="1" applyProtection="1">
      <alignment horizontal="center" vertical="center"/>
      <protection hidden="1"/>
    </xf>
    <xf numFmtId="0" fontId="0" fillId="3" borderId="43" xfId="0" applyFill="1" applyBorder="1" applyAlignment="1" applyProtection="1">
      <alignment horizontal="center" vertical="center"/>
      <protection hidden="1"/>
    </xf>
    <xf numFmtId="0" fontId="5" fillId="3" borderId="40" xfId="0" applyFont="1" applyFill="1" applyBorder="1" applyAlignment="1" applyProtection="1">
      <alignment vertical="center"/>
    </xf>
    <xf numFmtId="0" fontId="5" fillId="3" borderId="18" xfId="0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9" borderId="44" xfId="0" applyFont="1" applyFill="1" applyBorder="1" applyAlignment="1" applyProtection="1">
      <alignment horizontal="center" vertical="center" wrapText="1"/>
    </xf>
    <xf numFmtId="0" fontId="7" fillId="9" borderId="32" xfId="0" applyFont="1" applyFill="1" applyBorder="1" applyAlignment="1" applyProtection="1">
      <alignment vertical="center" wrapText="1"/>
    </xf>
    <xf numFmtId="0" fontId="5" fillId="9" borderId="47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14" fillId="2" borderId="46" xfId="0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0" fontId="7" fillId="9" borderId="46" xfId="0" applyFont="1" applyFill="1" applyBorder="1" applyAlignment="1" applyProtection="1">
      <alignment horizontal="center" vertical="center"/>
      <protection locked="0"/>
    </xf>
    <xf numFmtId="0" fontId="5" fillId="10" borderId="46" xfId="0" applyFont="1" applyFill="1" applyBorder="1" applyAlignment="1" applyProtection="1">
      <alignment horizontal="center" vertical="center"/>
      <protection locked="0"/>
    </xf>
    <xf numFmtId="0" fontId="8" fillId="3" borderId="46" xfId="0" applyFont="1" applyFill="1" applyBorder="1" applyAlignment="1" applyProtection="1">
      <alignment horizontal="center" vertical="center"/>
      <protection locked="0"/>
    </xf>
    <xf numFmtId="0" fontId="8" fillId="9" borderId="46" xfId="0" applyFont="1" applyFill="1" applyBorder="1" applyAlignment="1" applyProtection="1">
      <alignment horizontal="center" vertical="center" wrapText="1"/>
      <protection locked="0"/>
    </xf>
    <xf numFmtId="0" fontId="8" fillId="9" borderId="24" xfId="0" applyFont="1" applyFill="1" applyBorder="1" applyAlignment="1" applyProtection="1">
      <alignment vertical="center" wrapText="1"/>
    </xf>
    <xf numFmtId="0" fontId="5" fillId="10" borderId="30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7" fillId="10" borderId="5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1" fillId="7" borderId="1" xfId="0" applyFont="1" applyFill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40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5" fillId="10" borderId="37" xfId="0" applyFont="1" applyFill="1" applyBorder="1" applyAlignment="1" applyProtection="1">
      <alignment horizontal="center" vertical="center"/>
    </xf>
    <xf numFmtId="0" fontId="5" fillId="9" borderId="2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9" borderId="39" xfId="0" applyFont="1" applyFill="1" applyBorder="1" applyAlignment="1" applyProtection="1">
      <alignment horizontal="center" vertical="center" wrapText="1"/>
    </xf>
    <xf numFmtId="0" fontId="5" fillId="10" borderId="30" xfId="0" applyFont="1" applyFill="1" applyBorder="1" applyAlignment="1" applyProtection="1">
      <alignment horizontal="center" vertical="center" wrapText="1"/>
    </xf>
    <xf numFmtId="0" fontId="5" fillId="10" borderId="33" xfId="0" applyFont="1" applyFill="1" applyBorder="1" applyAlignment="1" applyProtection="1">
      <alignment horizontal="center" vertical="center" wrapText="1"/>
    </xf>
    <xf numFmtId="0" fontId="5" fillId="10" borderId="51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10" borderId="34" xfId="0" applyFont="1" applyFill="1" applyBorder="1" applyAlignment="1" applyProtection="1">
      <alignment horizontal="center" vertical="center"/>
    </xf>
    <xf numFmtId="0" fontId="5" fillId="10" borderId="30" xfId="0" applyFont="1" applyFill="1" applyBorder="1" applyAlignment="1" applyProtection="1">
      <alignment horizontal="center" vertical="center"/>
    </xf>
    <xf numFmtId="0" fontId="5" fillId="9" borderId="21" xfId="0" applyFont="1" applyFill="1" applyBorder="1" applyAlignment="1" applyProtection="1">
      <alignment horizontal="center" vertical="center" wrapText="1"/>
    </xf>
    <xf numFmtId="0" fontId="5" fillId="9" borderId="22" xfId="0" applyFont="1" applyFill="1" applyBorder="1" applyAlignment="1" applyProtection="1">
      <alignment horizontal="center" vertical="center" wrapText="1"/>
    </xf>
    <xf numFmtId="0" fontId="5" fillId="9" borderId="31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5" fillId="4" borderId="48" xfId="0" applyFont="1" applyFill="1" applyBorder="1" applyAlignment="1" applyProtection="1">
      <alignment horizontal="center" vertical="center" wrapText="1"/>
      <protection locked="0"/>
    </xf>
    <xf numFmtId="0" fontId="5" fillId="4" borderId="49" xfId="0" applyFont="1" applyFill="1" applyBorder="1" applyAlignment="1" applyProtection="1">
      <alignment horizontal="center" vertical="center" wrapText="1"/>
      <protection locked="0"/>
    </xf>
    <xf numFmtId="0" fontId="5" fillId="4" borderId="50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 wrapText="1"/>
    </xf>
    <xf numFmtId="0" fontId="5" fillId="9" borderId="29" xfId="0" applyFont="1" applyFill="1" applyBorder="1" applyAlignment="1" applyProtection="1">
      <alignment horizontal="center" vertical="center" wrapText="1"/>
    </xf>
    <xf numFmtId="0" fontId="7" fillId="9" borderId="39" xfId="0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45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2" borderId="42" xfId="0" applyFont="1" applyFill="1" applyBorder="1" applyAlignment="1" applyProtection="1">
      <alignment horizontal="center" vertical="center"/>
      <protection hidden="1"/>
    </xf>
    <xf numFmtId="0" fontId="0" fillId="2" borderId="43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3" borderId="42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43" xfId="0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0" fillId="3" borderId="42" xfId="0" applyFill="1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 wrapText="1"/>
      <protection hidden="1"/>
    </xf>
    <xf numFmtId="0" fontId="0" fillId="2" borderId="4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43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45" xfId="0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Standard_Nextal Key material number to Price Materi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40"/>
  <sheetViews>
    <sheetView workbookViewId="0">
      <selection activeCell="P18" sqref="P18"/>
    </sheetView>
  </sheetViews>
  <sheetFormatPr defaultRowHeight="15" x14ac:dyDescent="0.25"/>
  <cols>
    <col min="1" max="1" width="2.85546875" style="6" customWidth="1"/>
    <col min="2" max="2" width="11.28515625" style="6" customWidth="1"/>
    <col min="3" max="3" width="0.85546875" style="42" customWidth="1"/>
    <col min="4" max="4" width="14" style="6" customWidth="1"/>
    <col min="5" max="5" width="33.5703125" style="6" customWidth="1"/>
    <col min="6" max="6" width="40.28515625" style="6" bestFit="1" customWidth="1"/>
    <col min="7" max="7" width="9.28515625" style="6" customWidth="1"/>
    <col min="8" max="8" width="7.5703125" style="6" customWidth="1"/>
    <col min="9" max="9" width="7.28515625" style="6" customWidth="1"/>
    <col min="10" max="10" width="2.85546875" style="6" customWidth="1"/>
    <col min="11" max="11" width="7.42578125" style="6" customWidth="1"/>
    <col min="12" max="12" width="34.42578125" style="6" customWidth="1"/>
    <col min="13" max="16384" width="9.140625" style="6"/>
  </cols>
  <sheetData>
    <row r="1" spans="1:22" ht="10.5" customHeight="1" x14ac:dyDescent="0.25">
      <c r="A1" s="10"/>
      <c r="B1" s="11"/>
      <c r="C1" s="12"/>
      <c r="D1" s="11"/>
      <c r="E1" s="11"/>
      <c r="F1" s="11"/>
      <c r="G1" s="13"/>
      <c r="H1" s="14"/>
      <c r="I1" s="14"/>
      <c r="J1" s="14"/>
      <c r="K1" s="14"/>
      <c r="L1" s="14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0.25" customHeight="1" x14ac:dyDescent="0.25">
      <c r="A2" s="15"/>
      <c r="B2" s="16"/>
      <c r="C2" s="17"/>
      <c r="D2" s="113" t="s">
        <v>58</v>
      </c>
      <c r="E2" s="113"/>
      <c r="F2" s="18" t="s">
        <v>57</v>
      </c>
      <c r="G2" s="113" t="s">
        <v>56</v>
      </c>
      <c r="H2" s="113"/>
      <c r="I2" s="113"/>
      <c r="J2" s="113"/>
      <c r="K2" s="113"/>
      <c r="L2" s="113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5.25" customHeight="1" thickBot="1" x14ac:dyDescent="0.3">
      <c r="A3" s="15"/>
      <c r="B3" s="20"/>
      <c r="C3" s="19"/>
      <c r="D3" s="20"/>
      <c r="E3" s="20"/>
      <c r="F3" s="20"/>
      <c r="G3" s="20"/>
      <c r="H3" s="20"/>
      <c r="I3" s="20"/>
      <c r="J3" s="20"/>
      <c r="K3" s="20"/>
      <c r="L3" s="20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20.25" customHeight="1" thickBot="1" x14ac:dyDescent="0.3">
      <c r="A4" s="15"/>
      <c r="B4" s="138"/>
      <c r="C4" s="21"/>
      <c r="D4" s="141" t="s">
        <v>75</v>
      </c>
      <c r="E4" s="142"/>
      <c r="F4" s="101" t="s">
        <v>77</v>
      </c>
      <c r="G4" s="136"/>
      <c r="H4" s="137"/>
      <c r="I4" s="137"/>
      <c r="J4" s="137"/>
      <c r="K4" s="137"/>
      <c r="L4" s="137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.75" customHeight="1" thickBot="1" x14ac:dyDescent="0.3">
      <c r="A5" s="15"/>
      <c r="B5" s="139"/>
      <c r="C5" s="21"/>
      <c r="D5" s="75"/>
      <c r="E5" s="97"/>
      <c r="F5" s="99"/>
      <c r="G5" s="98"/>
      <c r="H5" s="74"/>
      <c r="I5" s="74"/>
      <c r="J5" s="74"/>
      <c r="K5" s="74"/>
      <c r="L5" s="74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20.25" customHeight="1" thickBot="1" x14ac:dyDescent="0.3">
      <c r="A6" s="15"/>
      <c r="B6" s="139"/>
      <c r="C6" s="21"/>
      <c r="D6" s="144" t="s">
        <v>70</v>
      </c>
      <c r="E6" s="146"/>
      <c r="F6" s="102">
        <v>100</v>
      </c>
      <c r="G6" s="143" t="s">
        <v>354</v>
      </c>
      <c r="H6" s="144"/>
      <c r="I6" s="144"/>
      <c r="J6" s="144"/>
      <c r="K6" s="144"/>
      <c r="L6" s="144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4.5" customHeight="1" thickBot="1" x14ac:dyDescent="0.3">
      <c r="A7" s="15"/>
      <c r="B7" s="140"/>
      <c r="C7" s="21"/>
      <c r="D7" s="77"/>
      <c r="E7" s="78"/>
      <c r="F7" s="100"/>
      <c r="G7" s="76"/>
      <c r="H7" s="77"/>
      <c r="I7" s="77"/>
      <c r="J7" s="77"/>
      <c r="K7" s="77"/>
      <c r="L7" s="77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s="8" customFormat="1" ht="4.5" customHeight="1" thickBot="1" x14ac:dyDescent="0.3">
      <c r="A8" s="22"/>
      <c r="B8" s="23"/>
      <c r="C8" s="24"/>
      <c r="D8" s="25"/>
      <c r="E8" s="25"/>
      <c r="F8" s="25"/>
      <c r="G8" s="25"/>
      <c r="H8" s="25"/>
      <c r="I8" s="25"/>
      <c r="J8" s="25"/>
      <c r="K8" s="25"/>
      <c r="L8" s="25"/>
    </row>
    <row r="9" spans="1:22" ht="21.75" customHeight="1" thickBot="1" x14ac:dyDescent="0.3">
      <c r="A9" s="10"/>
      <c r="B9" s="130"/>
      <c r="C9" s="21"/>
      <c r="D9" s="120" t="s">
        <v>59</v>
      </c>
      <c r="E9" s="121"/>
      <c r="F9" s="106" t="s">
        <v>28</v>
      </c>
      <c r="G9" s="90" t="s">
        <v>298</v>
      </c>
      <c r="H9" s="90"/>
      <c r="I9" s="90">
        <f>VLOOKUP(F9,QuantiMIZEproducts,12,FALSE)</f>
        <v>384</v>
      </c>
      <c r="J9" s="90"/>
      <c r="K9" s="90"/>
      <c r="L9" s="91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4.5" customHeight="1" thickBot="1" x14ac:dyDescent="0.3">
      <c r="A10" s="10"/>
      <c r="B10" s="130"/>
      <c r="C10" s="21"/>
      <c r="D10" s="72"/>
      <c r="E10" s="26"/>
      <c r="F10" s="27"/>
      <c r="G10" s="26"/>
      <c r="H10" s="26"/>
      <c r="I10" s="26"/>
      <c r="J10" s="26"/>
      <c r="K10" s="26"/>
      <c r="L10" s="26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45.75" customHeight="1" thickBot="1" x14ac:dyDescent="0.3">
      <c r="A11" s="10"/>
      <c r="B11" s="130"/>
      <c r="C11" s="21"/>
      <c r="D11" s="122" t="s">
        <v>351</v>
      </c>
      <c r="E11" s="123"/>
      <c r="F11" s="110" t="s">
        <v>97</v>
      </c>
      <c r="G11" s="147" t="str">
        <f>IF(F11="Assay (100 samples)","Individual microbiome or genes in a tube format. You can do 100 reactions and test 1 microbe or gene using 1 assay.",IF(F11="Assay Kit (20 samples)","Individual microbiome or genes in a tube format; comes with all the reagents. You can do 20 reactions and test 1 microbe or gene using 1 assay.",IF(F11="Cataloged array","choose cataloged array in 96/100/384 format. This will come in plate format.",IF(F11="Custom array","choose your assays from the 580 assay list and Qiagen will put in the plate",""))))</f>
        <v>choose cataloged array in 96/100/384 format. This will come in plate format.</v>
      </c>
      <c r="H11" s="147"/>
      <c r="I11" s="147"/>
      <c r="J11" s="147"/>
      <c r="K11" s="147"/>
      <c r="L11" s="12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.75" customHeight="1" thickBot="1" x14ac:dyDescent="0.3">
      <c r="A12" s="10"/>
      <c r="B12" s="130"/>
      <c r="C12" s="21"/>
      <c r="D12" s="72"/>
      <c r="E12" s="26"/>
      <c r="F12" s="27"/>
      <c r="G12" s="26"/>
      <c r="H12" s="26"/>
      <c r="I12" s="26"/>
      <c r="J12" s="26"/>
      <c r="K12" s="26"/>
      <c r="L12" s="26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4" customHeight="1" thickBot="1" x14ac:dyDescent="0.3">
      <c r="A13" s="10"/>
      <c r="B13" s="130"/>
      <c r="C13" s="21"/>
      <c r="D13" s="128" t="s">
        <v>348</v>
      </c>
      <c r="E13" s="129"/>
      <c r="F13" s="103" t="s">
        <v>353</v>
      </c>
      <c r="G13" s="115" t="str">
        <f>IF(F11="Cataloged array","Cataloged array variant","")</f>
        <v>Cataloged array variant</v>
      </c>
      <c r="H13" s="115"/>
      <c r="I13" s="115"/>
      <c r="J13" s="62"/>
      <c r="K13" s="116" t="str">
        <f>IF(F11="Cataloged array",INDEX(Sheet3!B3:Q35,MATCH(F9,Sheet3!A3:A35,0),MATCH(F13,Sheet3!B2:Q2,0)),"")</f>
        <v>BAID-1405ZFG</v>
      </c>
      <c r="L13" s="117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5.25" customHeight="1" thickBot="1" x14ac:dyDescent="0.3">
      <c r="A14" s="10"/>
      <c r="B14" s="28"/>
      <c r="C14" s="21"/>
      <c r="D14" s="28"/>
      <c r="E14" s="28"/>
      <c r="F14" s="25"/>
      <c r="G14" s="29"/>
      <c r="H14" s="29"/>
      <c r="I14" s="29"/>
      <c r="J14" s="29"/>
      <c r="K14" s="29"/>
      <c r="L14" s="29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1.5" customHeight="1" thickBot="1" x14ac:dyDescent="0.3">
      <c r="A15" s="10"/>
      <c r="B15" s="133"/>
      <c r="C15" s="21"/>
      <c r="D15" s="114" t="s">
        <v>349</v>
      </c>
      <c r="E15" s="114"/>
      <c r="F15" s="107" t="s">
        <v>289</v>
      </c>
      <c r="G15" s="148" t="str">
        <f>IF(F11="Cataloged array","Pricing key","")</f>
        <v>Pricing key</v>
      </c>
      <c r="H15" s="148"/>
      <c r="I15" s="59" t="str">
        <f>IF(F11="Cataloged array",INDEX(Sheet5!B2:G161,MATCH(K13,Sheet5!A2:A161,0),MATCH(F16,Sheet5!B1:G1,0)),"")</f>
        <v>G-4</v>
      </c>
      <c r="J15" s="59"/>
      <c r="K15" s="59"/>
      <c r="L15" s="108" t="s">
        <v>347</v>
      </c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27.75" customHeight="1" x14ac:dyDescent="0.25">
      <c r="A16" s="10"/>
      <c r="B16" s="134"/>
      <c r="C16" s="21"/>
      <c r="D16" s="114" t="s">
        <v>293</v>
      </c>
      <c r="E16" s="114"/>
      <c r="F16" s="96">
        <f>VLOOKUP(F15,NumberOfPlates,2,FALSE)</f>
        <v>4</v>
      </c>
      <c r="G16" s="148"/>
      <c r="H16" s="148"/>
      <c r="I16" s="60"/>
      <c r="J16" s="61"/>
      <c r="K16" s="119"/>
      <c r="L16" s="119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.75" customHeight="1" thickBot="1" x14ac:dyDescent="0.3">
      <c r="A17" s="10"/>
      <c r="B17" s="134"/>
      <c r="C17" s="21"/>
      <c r="D17" s="30"/>
      <c r="E17" s="31"/>
      <c r="F17" s="32"/>
      <c r="G17" s="71"/>
      <c r="H17" s="94"/>
      <c r="I17" s="94"/>
      <c r="J17" s="33"/>
      <c r="K17" s="34"/>
      <c r="L17" s="34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3" customHeight="1" thickBot="1" x14ac:dyDescent="0.3">
      <c r="A18" s="10"/>
      <c r="B18" s="135"/>
      <c r="C18" s="21"/>
      <c r="D18" s="124" t="s">
        <v>352</v>
      </c>
      <c r="E18" s="124"/>
      <c r="F18" s="104" t="s">
        <v>322</v>
      </c>
      <c r="G18" s="150" t="s">
        <v>336</v>
      </c>
      <c r="H18" s="150"/>
      <c r="I18" s="150"/>
      <c r="J18" s="149" t="str">
        <f>IF(F11="Custom array",VLOOKUP(F18,CustomArraySpecies,2,FALSE),"")</f>
        <v/>
      </c>
      <c r="K18" s="149"/>
      <c r="L18" s="95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s="8" customFormat="1" ht="3.75" customHeight="1" thickBot="1" x14ac:dyDescent="0.3">
      <c r="A19" s="22"/>
      <c r="B19" s="28"/>
      <c r="C19" s="21"/>
      <c r="D19" s="25"/>
      <c r="E19" s="25"/>
      <c r="F19" s="35"/>
      <c r="G19" s="36"/>
      <c r="H19" s="36"/>
      <c r="I19" s="36"/>
      <c r="J19" s="36"/>
      <c r="K19" s="36"/>
      <c r="L19" s="36"/>
    </row>
    <row r="20" spans="1:22" ht="21.75" customHeight="1" thickBot="1" x14ac:dyDescent="0.3">
      <c r="A20" s="10"/>
      <c r="B20" s="118"/>
      <c r="C20" s="37"/>
      <c r="D20" s="125" t="s">
        <v>76</v>
      </c>
      <c r="E20" s="126"/>
      <c r="F20" s="105" t="s">
        <v>79</v>
      </c>
      <c r="G20" s="131" t="str">
        <f>IF(F20="Profiling","Changed amounts the selected microbes or genes between samples",IF(F20="Identification","Identification of the selected microbes or genes in the samples",""))</f>
        <v>Changed amounts the selected microbes or genes between samples</v>
      </c>
      <c r="H20" s="132"/>
      <c r="I20" s="132"/>
      <c r="J20" s="132"/>
      <c r="K20" s="132"/>
      <c r="L20" s="132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.75" customHeight="1" x14ac:dyDescent="0.25">
      <c r="A21" s="10"/>
      <c r="B21" s="118"/>
      <c r="C21" s="37"/>
      <c r="D21" s="109"/>
      <c r="E21" s="109"/>
      <c r="F21" s="38"/>
      <c r="G21" s="73"/>
      <c r="H21" s="73"/>
      <c r="I21" s="73"/>
      <c r="J21" s="73"/>
      <c r="K21" s="73"/>
      <c r="L21" s="73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3.75" customHeight="1" thickBot="1" x14ac:dyDescent="0.3">
      <c r="A22" s="10"/>
      <c r="B22" s="118"/>
      <c r="C22" s="37"/>
      <c r="D22" s="126" t="s">
        <v>350</v>
      </c>
      <c r="E22" s="127"/>
      <c r="F22" s="111" t="str">
        <f>IF(Input!F11="Custom array",INDEX(MinPlates!B2:L3,MATCH(Input!I9,MinPlates!A2:A3,0),MATCH(Input!J18,MinPlates!B1:L1,0)),"")</f>
        <v/>
      </c>
      <c r="G22" s="131"/>
      <c r="H22" s="132"/>
      <c r="I22" s="132"/>
      <c r="J22" s="132"/>
      <c r="K22" s="132"/>
      <c r="L22" s="132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25">
      <c r="A23" s="8"/>
      <c r="B23" s="7"/>
      <c r="C23" s="39"/>
      <c r="D23" s="7"/>
      <c r="E23" s="7"/>
      <c r="F23" s="40"/>
      <c r="G23" s="7"/>
      <c r="H23" s="145"/>
      <c r="I23" s="145"/>
      <c r="J23" s="145"/>
      <c r="K23" s="145"/>
      <c r="L23" s="145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x14ac:dyDescent="0.25">
      <c r="A24" s="8"/>
      <c r="B24" s="45"/>
      <c r="C24" s="39"/>
      <c r="D24" s="7"/>
      <c r="E24" s="7"/>
      <c r="F24" s="40"/>
      <c r="G24" s="9"/>
      <c r="H24" s="9"/>
      <c r="I24" s="9"/>
      <c r="J24" s="41"/>
      <c r="K24" s="7"/>
      <c r="L24" s="7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x14ac:dyDescent="0.25">
      <c r="A25" s="8"/>
      <c r="D25" s="43"/>
      <c r="E25" s="7"/>
      <c r="F25" s="7"/>
      <c r="G25" s="9"/>
      <c r="H25" s="7"/>
      <c r="I25" s="7"/>
      <c r="J25" s="4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5">
      <c r="A26" s="8"/>
      <c r="B26" s="46"/>
      <c r="D26" s="43"/>
      <c r="E26" s="7"/>
      <c r="F26" s="7"/>
      <c r="G26" s="9"/>
      <c r="H26" s="7"/>
      <c r="I26" s="7"/>
      <c r="J26" s="4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x14ac:dyDescent="0.25">
      <c r="A27" s="8"/>
      <c r="B27" s="8"/>
      <c r="D27" s="43"/>
      <c r="E27" s="7"/>
      <c r="F27" s="7"/>
      <c r="G27" s="9"/>
      <c r="H27" s="7"/>
      <c r="I27" s="7"/>
      <c r="J27" s="4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5">
      <c r="A28" s="8"/>
      <c r="B28" s="8"/>
      <c r="D28" s="43"/>
      <c r="E28" s="7"/>
      <c r="F28" s="7"/>
      <c r="G28" s="9"/>
      <c r="H28" s="7"/>
      <c r="I28" s="7"/>
      <c r="J28" s="4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x14ac:dyDescent="0.25">
      <c r="A29" s="8"/>
      <c r="B29" s="8"/>
      <c r="D29" s="43"/>
      <c r="E29" s="7"/>
      <c r="F29" s="7"/>
      <c r="G29" s="9"/>
      <c r="H29" s="7"/>
      <c r="I29" s="7"/>
      <c r="J29" s="4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x14ac:dyDescent="0.25">
      <c r="A30" s="8"/>
      <c r="B30" s="8"/>
      <c r="D30" s="43"/>
      <c r="E30" s="7"/>
      <c r="F30" s="7"/>
      <c r="G30" s="9"/>
      <c r="H30" s="7"/>
      <c r="I30" s="7"/>
      <c r="J30" s="4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25">
      <c r="A31" s="8"/>
      <c r="B31" s="8"/>
      <c r="D31" s="44"/>
      <c r="E31" s="7"/>
      <c r="F31" s="7"/>
      <c r="G31" s="7"/>
      <c r="H31" s="7"/>
      <c r="I31" s="7"/>
      <c r="J31" s="4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x14ac:dyDescent="0.25">
      <c r="A32" s="8"/>
      <c r="B32" s="8"/>
      <c r="D32" s="44"/>
      <c r="E32" s="7"/>
      <c r="F32" s="7"/>
      <c r="G32" s="7"/>
      <c r="H32" s="7"/>
      <c r="I32" s="7"/>
      <c r="J32" s="4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5">
      <c r="A33" s="8"/>
      <c r="B33" s="8"/>
      <c r="D33" s="44"/>
      <c r="E33" s="7"/>
      <c r="F33" s="7"/>
      <c r="G33" s="7"/>
      <c r="H33" s="41"/>
      <c r="I33" s="7"/>
      <c r="J33" s="4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x14ac:dyDescent="0.25">
      <c r="A34" s="8"/>
      <c r="B34" s="8"/>
      <c r="D34" s="43"/>
      <c r="E34" s="7"/>
      <c r="F34" s="7"/>
      <c r="G34" s="7"/>
      <c r="H34" s="7"/>
      <c r="I34" s="7"/>
      <c r="J34" s="4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x14ac:dyDescent="0.25">
      <c r="A35" s="8"/>
      <c r="B35" s="8"/>
      <c r="D35" s="43"/>
      <c r="E35" s="7"/>
      <c r="F35" s="7"/>
      <c r="G35" s="7"/>
      <c r="H35" s="7"/>
      <c r="I35" s="7"/>
      <c r="J35" s="4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x14ac:dyDescent="0.25">
      <c r="A36" s="8"/>
      <c r="B36" s="8"/>
      <c r="D36" s="8"/>
      <c r="E36" s="8"/>
      <c r="F36" s="7"/>
      <c r="G36" s="8"/>
      <c r="H36" s="8"/>
      <c r="I36" s="8"/>
      <c r="J36" s="41"/>
      <c r="K36" s="8"/>
      <c r="L36" s="8"/>
      <c r="M36" s="8"/>
      <c r="N36" s="8"/>
    </row>
    <row r="40" spans="1:22" x14ac:dyDescent="0.25">
      <c r="F40" s="112"/>
    </row>
  </sheetData>
  <mergeCells count="30">
    <mergeCell ref="H23:J23"/>
    <mergeCell ref="K23:L23"/>
    <mergeCell ref="D6:E6"/>
    <mergeCell ref="G20:L20"/>
    <mergeCell ref="G11:L11"/>
    <mergeCell ref="G15:H15"/>
    <mergeCell ref="G16:H16"/>
    <mergeCell ref="J18:K18"/>
    <mergeCell ref="G18:I18"/>
    <mergeCell ref="B20:B22"/>
    <mergeCell ref="D2:E2"/>
    <mergeCell ref="K16:L16"/>
    <mergeCell ref="D9:E9"/>
    <mergeCell ref="D11:E11"/>
    <mergeCell ref="D18:E18"/>
    <mergeCell ref="D20:E20"/>
    <mergeCell ref="D22:E22"/>
    <mergeCell ref="D13:E13"/>
    <mergeCell ref="B9:B13"/>
    <mergeCell ref="G22:L22"/>
    <mergeCell ref="B15:B18"/>
    <mergeCell ref="G4:L4"/>
    <mergeCell ref="B4:B7"/>
    <mergeCell ref="D4:E4"/>
    <mergeCell ref="G6:L6"/>
    <mergeCell ref="G2:L2"/>
    <mergeCell ref="D15:E15"/>
    <mergeCell ref="D16:E16"/>
    <mergeCell ref="G13:I13"/>
    <mergeCell ref="K13:L13"/>
  </mergeCells>
  <dataValidations count="12">
    <dataValidation type="list" showInputMessage="1" showErrorMessage="1" sqref="C4">
      <formula1>#REF!</formula1>
    </dataValidation>
    <dataValidation type="list" showInputMessage="1" showErrorMessage="1" error="Select the appropriate Multiplexing level" sqref="F20">
      <formula1>AnalysisType</formula1>
    </dataValidation>
    <dataValidation type="list" allowBlank="1" showInputMessage="1" showErrorMessage="1" sqref="F4">
      <formula1>MicrobiomeSpecies</formula1>
    </dataValidation>
    <dataValidation type="list" showInputMessage="1" showErrorMessage="1" error="Please select format of real-time PCR run" sqref="F11">
      <formula1>PCRFormat</formula1>
    </dataValidation>
    <dataValidation type="list" showInputMessage="1" showErrorMessage="1" error="Please select a thermocycler" sqref="F9">
      <formula1>PCRCyclers</formula1>
    </dataValidation>
    <dataValidation type="list" showInputMessage="1" showErrorMessage="1" error="Please specify whether QC is required or not" sqref="F13">
      <formula1>CatalogedArrays</formula1>
    </dataValidation>
    <dataValidation type="list" showInputMessage="1" showErrorMessage="1" error="Please select format of real-time PCR run" sqref="F12">
      <formula1>#REF!</formula1>
    </dataValidation>
    <dataValidation type="list" showInputMessage="1" showErrorMessage="1" error="Please specify whether QC is required or not" sqref="F14">
      <formula1>#REF!</formula1>
    </dataValidation>
    <dataValidation type="list" allowBlank="1" showInputMessage="1" showErrorMessage="1" sqref="K17:L17 F5">
      <formula1>#REF!</formula1>
    </dataValidation>
    <dataValidation type="list" showInputMessage="1" showErrorMessage="1" error="Select a sample size for your cataloged panel" sqref="F19">
      <formula1>#REF!</formula1>
    </dataValidation>
    <dataValidation type="list" showInputMessage="1" showErrorMessage="1" error="Select the appropriate Multiplexing level" sqref="F21">
      <formula1>#REF!</formula1>
    </dataValidation>
    <dataValidation type="list" showErrorMessage="1" error="Please select a NGS platform" sqref="F8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Please select a thermocycler">
          <x14:formula1>
            <xm:f>QuantiMIZE!$A$3:$A$35</xm:f>
          </x14:formula1>
          <xm:sqref>F10</xm:sqref>
        </x14:dataValidation>
        <x14:dataValidation type="list" allowBlank="1" showInputMessage="1" showErrorMessage="1">
          <x14:formula1>
            <xm:f>Sheet1!$C$39:$C$44</xm:f>
          </x14:formula1>
          <xm:sqref>F15</xm:sqref>
        </x14:dataValidation>
        <x14:dataValidation type="list" allowBlank="1" showInputMessage="1" showErrorMessage="1">
          <x14:formula1>
            <xm:f>Sheet2!$B$7:$B$25</xm:f>
          </x14:formula1>
          <xm:sqref>F18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0" sqref="A10"/>
    </sheetView>
  </sheetViews>
  <sheetFormatPr defaultRowHeight="15" x14ac:dyDescent="0.25"/>
  <sheetData>
    <row r="1" spans="1:2" x14ac:dyDescent="0.25">
      <c r="A1" s="69">
        <v>330025</v>
      </c>
      <c r="B1" s="4" t="s">
        <v>267</v>
      </c>
    </row>
    <row r="2" spans="1:2" x14ac:dyDescent="0.25">
      <c r="A2" s="58">
        <v>330033</v>
      </c>
      <c r="B2" s="4" t="s">
        <v>268</v>
      </c>
    </row>
    <row r="3" spans="1:2" x14ac:dyDescent="0.25">
      <c r="A3" s="58">
        <v>330530</v>
      </c>
      <c r="B3" s="4" t="s">
        <v>269</v>
      </c>
    </row>
    <row r="4" spans="1:2" x14ac:dyDescent="0.25">
      <c r="A4" s="58">
        <v>330540</v>
      </c>
      <c r="B4" s="4" t="s">
        <v>270</v>
      </c>
    </row>
    <row r="5" spans="1:2" x14ac:dyDescent="0.25">
      <c r="A5" s="69" t="s">
        <v>295</v>
      </c>
      <c r="B5" s="4" t="s">
        <v>271</v>
      </c>
    </row>
    <row r="6" spans="1:2" x14ac:dyDescent="0.25">
      <c r="A6" s="69" t="s">
        <v>296</v>
      </c>
      <c r="B6" s="4" t="s">
        <v>272</v>
      </c>
    </row>
    <row r="7" spans="1:2" x14ac:dyDescent="0.25">
      <c r="A7" s="58">
        <v>330161</v>
      </c>
      <c r="B7" s="4" t="s">
        <v>273</v>
      </c>
    </row>
    <row r="8" spans="1:2" x14ac:dyDescent="0.25">
      <c r="A8" s="58">
        <v>330261</v>
      </c>
      <c r="B8" s="4" t="s">
        <v>274</v>
      </c>
    </row>
    <row r="9" spans="1:2" x14ac:dyDescent="0.25">
      <c r="A9" s="58">
        <v>337012</v>
      </c>
      <c r="B9" s="4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B7" sqref="B7:C25"/>
    </sheetView>
  </sheetViews>
  <sheetFormatPr defaultRowHeight="15" x14ac:dyDescent="0.25"/>
  <sheetData>
    <row r="1" spans="1:13" x14ac:dyDescent="0.25">
      <c r="C1" s="188" t="s">
        <v>314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x14ac:dyDescent="0.25">
      <c r="B2" s="92"/>
      <c r="C2" s="93">
        <v>8</v>
      </c>
      <c r="D2" s="93">
        <v>12</v>
      </c>
      <c r="E2" s="93">
        <v>16</v>
      </c>
      <c r="F2" s="93">
        <v>24</v>
      </c>
      <c r="G2" s="93">
        <f>F2+8</f>
        <v>32</v>
      </c>
      <c r="H2" s="93">
        <v>48</v>
      </c>
      <c r="I2" s="93">
        <v>64</v>
      </c>
      <c r="J2" s="93">
        <v>96</v>
      </c>
      <c r="K2" s="93">
        <v>128</v>
      </c>
      <c r="L2" s="93">
        <v>192</v>
      </c>
      <c r="M2" s="93">
        <v>384</v>
      </c>
    </row>
    <row r="3" spans="1:13" x14ac:dyDescent="0.25">
      <c r="A3" s="189" t="s">
        <v>315</v>
      </c>
      <c r="B3" s="92">
        <v>96</v>
      </c>
      <c r="C3" s="3">
        <v>12</v>
      </c>
      <c r="D3" s="3">
        <v>8</v>
      </c>
      <c r="E3" s="3">
        <v>6</v>
      </c>
      <c r="F3" s="3">
        <v>4</v>
      </c>
      <c r="G3" s="3">
        <v>3</v>
      </c>
      <c r="H3" s="3">
        <v>2</v>
      </c>
      <c r="I3" s="3" t="s">
        <v>316</v>
      </c>
      <c r="J3" s="3">
        <v>1</v>
      </c>
      <c r="K3" s="3" t="s">
        <v>316</v>
      </c>
      <c r="L3" s="3" t="s">
        <v>316</v>
      </c>
      <c r="M3" s="3" t="s">
        <v>316</v>
      </c>
    </row>
    <row r="4" spans="1:13" x14ac:dyDescent="0.25">
      <c r="A4" s="189"/>
      <c r="B4" s="92">
        <v>384</v>
      </c>
      <c r="C4" s="3">
        <v>48</v>
      </c>
      <c r="D4" s="3">
        <v>32</v>
      </c>
      <c r="E4" s="3">
        <v>24</v>
      </c>
      <c r="F4" s="3">
        <v>16</v>
      </c>
      <c r="G4" s="3">
        <v>12</v>
      </c>
      <c r="H4" s="3">
        <v>8</v>
      </c>
      <c r="I4" s="3">
        <v>6</v>
      </c>
      <c r="J4" s="3">
        <v>4</v>
      </c>
      <c r="K4" s="3">
        <v>3</v>
      </c>
      <c r="L4" s="3">
        <v>2</v>
      </c>
      <c r="M4" s="3">
        <v>1</v>
      </c>
    </row>
    <row r="7" spans="1:13" x14ac:dyDescent="0.25">
      <c r="B7" s="93" t="s">
        <v>317</v>
      </c>
      <c r="C7">
        <v>8</v>
      </c>
    </row>
    <row r="8" spans="1:13" x14ac:dyDescent="0.25">
      <c r="B8" s="93" t="s">
        <v>335</v>
      </c>
      <c r="C8">
        <v>8</v>
      </c>
    </row>
    <row r="9" spans="1:13" x14ac:dyDescent="0.25">
      <c r="B9" s="93" t="s">
        <v>318</v>
      </c>
      <c r="C9">
        <v>12</v>
      </c>
    </row>
    <row r="10" spans="1:13" x14ac:dyDescent="0.25">
      <c r="B10" s="93" t="s">
        <v>334</v>
      </c>
      <c r="C10">
        <v>12</v>
      </c>
    </row>
    <row r="11" spans="1:13" x14ac:dyDescent="0.25">
      <c r="B11" s="93" t="s">
        <v>319</v>
      </c>
      <c r="C11">
        <v>16</v>
      </c>
    </row>
    <row r="12" spans="1:13" x14ac:dyDescent="0.25">
      <c r="B12" s="93" t="s">
        <v>333</v>
      </c>
      <c r="C12">
        <v>16</v>
      </c>
    </row>
    <row r="13" spans="1:13" x14ac:dyDescent="0.25">
      <c r="B13" s="93" t="s">
        <v>320</v>
      </c>
      <c r="C13">
        <v>24</v>
      </c>
    </row>
    <row r="14" spans="1:13" x14ac:dyDescent="0.25">
      <c r="B14" s="93" t="s">
        <v>332</v>
      </c>
      <c r="C14">
        <v>24</v>
      </c>
    </row>
    <row r="15" spans="1:13" x14ac:dyDescent="0.25">
      <c r="B15" s="93" t="s">
        <v>321</v>
      </c>
      <c r="C15">
        <v>32</v>
      </c>
    </row>
    <row r="16" spans="1:13" x14ac:dyDescent="0.25">
      <c r="B16" s="93" t="s">
        <v>331</v>
      </c>
      <c r="C16">
        <v>32</v>
      </c>
    </row>
    <row r="17" spans="2:3" x14ac:dyDescent="0.25">
      <c r="B17" s="93" t="s">
        <v>322</v>
      </c>
      <c r="C17">
        <v>48</v>
      </c>
    </row>
    <row r="18" spans="2:3" x14ac:dyDescent="0.25">
      <c r="B18" s="93" t="s">
        <v>330</v>
      </c>
      <c r="C18">
        <v>48</v>
      </c>
    </row>
    <row r="19" spans="2:3" x14ac:dyDescent="0.25">
      <c r="B19" s="93" t="s">
        <v>323</v>
      </c>
      <c r="C19">
        <v>64</v>
      </c>
    </row>
    <row r="20" spans="2:3" x14ac:dyDescent="0.25">
      <c r="B20" s="93" t="s">
        <v>329</v>
      </c>
      <c r="C20">
        <v>64</v>
      </c>
    </row>
    <row r="21" spans="2:3" x14ac:dyDescent="0.25">
      <c r="B21" s="93" t="s">
        <v>324</v>
      </c>
      <c r="C21">
        <v>96</v>
      </c>
    </row>
    <row r="22" spans="2:3" x14ac:dyDescent="0.25">
      <c r="B22" s="93" t="s">
        <v>328</v>
      </c>
      <c r="C22">
        <v>96</v>
      </c>
    </row>
    <row r="23" spans="2:3" x14ac:dyDescent="0.25">
      <c r="B23" s="93" t="s">
        <v>327</v>
      </c>
      <c r="C23">
        <v>128</v>
      </c>
    </row>
    <row r="24" spans="2:3" x14ac:dyDescent="0.25">
      <c r="B24" s="93" t="s">
        <v>326</v>
      </c>
      <c r="C24">
        <v>192</v>
      </c>
    </row>
    <row r="25" spans="2:3" x14ac:dyDescent="0.25">
      <c r="B25" s="93" t="s">
        <v>325</v>
      </c>
      <c r="C25">
        <v>384</v>
      </c>
    </row>
  </sheetData>
  <mergeCells count="2">
    <mergeCell ref="C1:M1"/>
    <mergeCell ref="A3:A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I25" sqref="I25"/>
    </sheetView>
  </sheetViews>
  <sheetFormatPr defaultRowHeight="15" x14ac:dyDescent="0.25"/>
  <sheetData>
    <row r="1" spans="1:12" x14ac:dyDescent="0.25">
      <c r="A1" s="92"/>
      <c r="B1" s="93">
        <v>8</v>
      </c>
      <c r="C1" s="93">
        <v>12</v>
      </c>
      <c r="D1" s="93">
        <v>16</v>
      </c>
      <c r="E1" s="93">
        <v>24</v>
      </c>
      <c r="F1" s="93">
        <f>E1+8</f>
        <v>32</v>
      </c>
      <c r="G1" s="93">
        <v>48</v>
      </c>
      <c r="H1" s="93">
        <v>64</v>
      </c>
      <c r="I1" s="93">
        <v>96</v>
      </c>
      <c r="J1" s="93">
        <v>128</v>
      </c>
      <c r="K1" s="93">
        <v>192</v>
      </c>
      <c r="L1" s="93">
        <v>384</v>
      </c>
    </row>
    <row r="2" spans="1:12" x14ac:dyDescent="0.25">
      <c r="A2" s="92">
        <v>96</v>
      </c>
      <c r="B2" s="3" t="s">
        <v>279</v>
      </c>
      <c r="C2" s="3" t="s">
        <v>279</v>
      </c>
      <c r="D2" s="3" t="s">
        <v>279</v>
      </c>
      <c r="E2" s="3" t="s">
        <v>280</v>
      </c>
      <c r="F2" s="3" t="s">
        <v>280</v>
      </c>
      <c r="G2" s="3" t="s">
        <v>280</v>
      </c>
      <c r="H2" s="3" t="s">
        <v>316</v>
      </c>
      <c r="I2" s="3" t="s">
        <v>280</v>
      </c>
      <c r="J2" s="3" t="s">
        <v>316</v>
      </c>
      <c r="K2" s="3" t="s">
        <v>316</v>
      </c>
      <c r="L2" s="3" t="s">
        <v>316</v>
      </c>
    </row>
    <row r="3" spans="1:12" x14ac:dyDescent="0.25">
      <c r="A3" s="92">
        <v>384</v>
      </c>
      <c r="B3" s="3" t="s">
        <v>276</v>
      </c>
      <c r="C3" s="3" t="s">
        <v>276</v>
      </c>
      <c r="D3" s="3" t="s">
        <v>276</v>
      </c>
      <c r="E3" s="3" t="s">
        <v>278</v>
      </c>
      <c r="F3" s="3" t="s">
        <v>278</v>
      </c>
      <c r="G3" s="3" t="s">
        <v>278</v>
      </c>
      <c r="H3" s="3" t="s">
        <v>278</v>
      </c>
      <c r="I3" s="3" t="s">
        <v>278</v>
      </c>
      <c r="J3" s="3" t="s">
        <v>278</v>
      </c>
      <c r="K3" s="3" t="s">
        <v>277</v>
      </c>
      <c r="L3" s="3" t="s">
        <v>277</v>
      </c>
    </row>
    <row r="10" spans="1:12" x14ac:dyDescent="0.25">
      <c r="B10" s="3" t="s">
        <v>279</v>
      </c>
      <c r="C10">
        <v>12</v>
      </c>
    </row>
    <row r="11" spans="1:12" x14ac:dyDescent="0.25">
      <c r="B11" s="3" t="s">
        <v>279</v>
      </c>
      <c r="C11">
        <v>12</v>
      </c>
    </row>
    <row r="12" spans="1:12" x14ac:dyDescent="0.25">
      <c r="B12" s="3" t="s">
        <v>279</v>
      </c>
      <c r="C12">
        <v>12</v>
      </c>
    </row>
    <row r="13" spans="1:12" x14ac:dyDescent="0.25">
      <c r="B13" s="3" t="s">
        <v>280</v>
      </c>
      <c r="C13">
        <v>24</v>
      </c>
    </row>
    <row r="14" spans="1:12" x14ac:dyDescent="0.25">
      <c r="B14" s="3" t="s">
        <v>280</v>
      </c>
      <c r="C14">
        <v>24</v>
      </c>
    </row>
    <row r="15" spans="1:12" x14ac:dyDescent="0.25">
      <c r="B15" s="3" t="s">
        <v>280</v>
      </c>
      <c r="C15">
        <v>24</v>
      </c>
    </row>
    <row r="16" spans="1:12" x14ac:dyDescent="0.25">
      <c r="B16" s="3" t="s">
        <v>316</v>
      </c>
      <c r="C16" t="s">
        <v>337</v>
      </c>
    </row>
    <row r="17" spans="2:3" x14ac:dyDescent="0.25">
      <c r="B17" s="3" t="s">
        <v>280</v>
      </c>
      <c r="C17">
        <v>24</v>
      </c>
    </row>
    <row r="18" spans="2:3" x14ac:dyDescent="0.25">
      <c r="B18" s="3" t="s">
        <v>316</v>
      </c>
      <c r="C18" t="s">
        <v>337</v>
      </c>
    </row>
    <row r="19" spans="2:3" x14ac:dyDescent="0.25">
      <c r="B19" s="3" t="s">
        <v>316</v>
      </c>
      <c r="C19" t="s">
        <v>337</v>
      </c>
    </row>
    <row r="20" spans="2:3" x14ac:dyDescent="0.25">
      <c r="B20" s="3" t="s">
        <v>316</v>
      </c>
      <c r="C20" t="s">
        <v>337</v>
      </c>
    </row>
    <row r="21" spans="2:3" x14ac:dyDescent="0.25">
      <c r="B21" s="3" t="s">
        <v>276</v>
      </c>
      <c r="C21">
        <v>6</v>
      </c>
    </row>
    <row r="22" spans="2:3" x14ac:dyDescent="0.25">
      <c r="B22" s="3" t="s">
        <v>276</v>
      </c>
      <c r="C22">
        <v>6</v>
      </c>
    </row>
    <row r="23" spans="2:3" x14ac:dyDescent="0.25">
      <c r="B23" s="3" t="s">
        <v>276</v>
      </c>
      <c r="C23">
        <v>6</v>
      </c>
    </row>
    <row r="24" spans="2:3" x14ac:dyDescent="0.25">
      <c r="B24" s="3" t="s">
        <v>278</v>
      </c>
      <c r="C24">
        <v>6</v>
      </c>
    </row>
    <row r="25" spans="2:3" x14ac:dyDescent="0.25">
      <c r="B25" s="3" t="s">
        <v>278</v>
      </c>
      <c r="C25">
        <v>6</v>
      </c>
    </row>
    <row r="26" spans="2:3" x14ac:dyDescent="0.25">
      <c r="B26" s="3" t="s">
        <v>278</v>
      </c>
      <c r="C26">
        <v>6</v>
      </c>
    </row>
    <row r="27" spans="2:3" x14ac:dyDescent="0.25">
      <c r="B27" s="3" t="s">
        <v>278</v>
      </c>
      <c r="C27">
        <v>6</v>
      </c>
    </row>
    <row r="28" spans="2:3" x14ac:dyDescent="0.25">
      <c r="B28" s="3" t="s">
        <v>278</v>
      </c>
      <c r="C28">
        <v>6</v>
      </c>
    </row>
    <row r="29" spans="2:3" x14ac:dyDescent="0.25">
      <c r="B29" s="3" t="s">
        <v>278</v>
      </c>
      <c r="C29">
        <v>6</v>
      </c>
    </row>
    <row r="30" spans="2:3" x14ac:dyDescent="0.25">
      <c r="B30" s="3" t="s">
        <v>277</v>
      </c>
      <c r="C30">
        <v>24</v>
      </c>
    </row>
    <row r="31" spans="2:3" x14ac:dyDescent="0.25">
      <c r="B31" s="3" t="s">
        <v>277</v>
      </c>
      <c r="C31">
        <v>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K4" sqref="K4"/>
    </sheetView>
  </sheetViews>
  <sheetFormatPr defaultRowHeight="15" x14ac:dyDescent="0.25"/>
  <sheetData>
    <row r="1" spans="1:12" x14ac:dyDescent="0.25">
      <c r="A1" s="92"/>
      <c r="B1" s="93">
        <v>8</v>
      </c>
      <c r="C1" s="93">
        <v>12</v>
      </c>
      <c r="D1" s="93">
        <v>16</v>
      </c>
      <c r="E1" s="93">
        <v>24</v>
      </c>
      <c r="F1" s="93">
        <f>E1+8</f>
        <v>32</v>
      </c>
      <c r="G1" s="93">
        <v>48</v>
      </c>
      <c r="H1" s="93">
        <v>64</v>
      </c>
      <c r="I1" s="93">
        <v>96</v>
      </c>
      <c r="J1" s="93">
        <v>128</v>
      </c>
      <c r="K1" s="93">
        <v>192</v>
      </c>
      <c r="L1" s="93">
        <v>384</v>
      </c>
    </row>
    <row r="2" spans="1:12" x14ac:dyDescent="0.25">
      <c r="A2" s="92">
        <v>96</v>
      </c>
      <c r="B2" s="3">
        <v>12</v>
      </c>
      <c r="C2" s="3">
        <v>12</v>
      </c>
      <c r="D2" s="3">
        <v>12</v>
      </c>
      <c r="E2" s="3">
        <v>24</v>
      </c>
      <c r="F2" s="3">
        <v>24</v>
      </c>
      <c r="G2" s="3">
        <v>24</v>
      </c>
      <c r="H2" s="3" t="s">
        <v>337</v>
      </c>
      <c r="I2" s="3">
        <v>24</v>
      </c>
      <c r="J2" s="3" t="s">
        <v>337</v>
      </c>
      <c r="K2" s="3" t="s">
        <v>337</v>
      </c>
      <c r="L2" s="3" t="s">
        <v>337</v>
      </c>
    </row>
    <row r="3" spans="1:12" x14ac:dyDescent="0.25">
      <c r="A3" s="92">
        <v>384</v>
      </c>
      <c r="B3" s="3">
        <v>6</v>
      </c>
      <c r="C3" s="3">
        <v>6</v>
      </c>
      <c r="D3" s="3">
        <v>6</v>
      </c>
      <c r="E3" s="3">
        <v>6</v>
      </c>
      <c r="F3" s="3">
        <v>6</v>
      </c>
      <c r="G3" s="3">
        <v>6</v>
      </c>
      <c r="H3" s="3">
        <v>6</v>
      </c>
      <c r="I3" s="3">
        <v>6</v>
      </c>
      <c r="J3" s="3">
        <v>6</v>
      </c>
      <c r="K3" s="3">
        <v>24</v>
      </c>
      <c r="L3" s="3">
        <v>24</v>
      </c>
    </row>
    <row r="10" spans="1:12" x14ac:dyDescent="0.25">
      <c r="B10" s="3"/>
    </row>
    <row r="11" spans="1:12" x14ac:dyDescent="0.25">
      <c r="B11" s="3"/>
    </row>
    <row r="12" spans="1:12" x14ac:dyDescent="0.25">
      <c r="B12" s="3"/>
    </row>
    <row r="13" spans="1:12" x14ac:dyDescent="0.25">
      <c r="B13" s="3"/>
    </row>
    <row r="14" spans="1:12" x14ac:dyDescent="0.25">
      <c r="B14" s="3"/>
    </row>
    <row r="15" spans="1:12" x14ac:dyDescent="0.25">
      <c r="B15" s="3"/>
    </row>
    <row r="16" spans="1:12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4"/>
  <sheetViews>
    <sheetView tabSelected="1" topLeftCell="A7" zoomScale="90" zoomScaleNormal="90" workbookViewId="0">
      <selection activeCell="P11" sqref="P11"/>
    </sheetView>
  </sheetViews>
  <sheetFormatPr defaultRowHeight="15" x14ac:dyDescent="0.25"/>
  <cols>
    <col min="1" max="1" width="15.140625" style="47" customWidth="1"/>
    <col min="2" max="2" width="13.85546875" style="47" customWidth="1"/>
    <col min="3" max="3" width="19.140625" style="47" customWidth="1"/>
    <col min="4" max="4" width="26.42578125" style="47" bestFit="1" customWidth="1"/>
    <col min="5" max="5" width="0.5703125" style="47" customWidth="1"/>
    <col min="6" max="6" width="32.28515625" style="47" customWidth="1"/>
    <col min="7" max="7" width="14.5703125" style="47" customWidth="1"/>
    <col min="8" max="8" width="20" style="47" customWidth="1"/>
    <col min="9" max="9" width="0.5703125" style="47" customWidth="1"/>
    <col min="10" max="10" width="15.7109375" style="47" bestFit="1" customWidth="1"/>
    <col min="11" max="16384" width="9.140625" style="47"/>
  </cols>
  <sheetData>
    <row r="1" spans="1:12" x14ac:dyDescent="0.25">
      <c r="A1" s="164" t="s">
        <v>355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15.75" customHeight="1" x14ac:dyDescent="0.25">
      <c r="A2" s="165" t="s">
        <v>266</v>
      </c>
      <c r="B2" s="165"/>
      <c r="C2" s="165"/>
      <c r="D2" s="57" t="str">
        <f>Input!F4</f>
        <v>Bacteria</v>
      </c>
      <c r="E2" s="48"/>
      <c r="F2" s="86" t="s">
        <v>311</v>
      </c>
      <c r="G2" s="165" t="str">
        <f>Input!F11</f>
        <v>Cataloged array</v>
      </c>
      <c r="H2" s="165"/>
      <c r="I2" s="48"/>
      <c r="J2" s="190" t="s">
        <v>313</v>
      </c>
      <c r="K2" s="190"/>
      <c r="L2" s="168">
        <f>Input!F16</f>
        <v>4</v>
      </c>
    </row>
    <row r="3" spans="1:12" ht="15.75" customHeight="1" x14ac:dyDescent="0.25">
      <c r="A3" s="165" t="s">
        <v>71</v>
      </c>
      <c r="B3" s="165"/>
      <c r="C3" s="165"/>
      <c r="D3" s="49">
        <f>Input!F6</f>
        <v>100</v>
      </c>
      <c r="E3" s="48"/>
      <c r="F3" s="86" t="s">
        <v>358</v>
      </c>
      <c r="G3" s="165" t="str">
        <f>Input!F9</f>
        <v>Roche Light Cycler 480 384-well block</v>
      </c>
      <c r="H3" s="165"/>
      <c r="I3" s="48"/>
      <c r="J3" s="190"/>
      <c r="K3" s="190"/>
      <c r="L3" s="168"/>
    </row>
    <row r="4" spans="1:12" ht="29.25" customHeight="1" x14ac:dyDescent="0.25">
      <c r="A4" s="172" t="s">
        <v>76</v>
      </c>
      <c r="B4" s="172"/>
      <c r="C4" s="172"/>
      <c r="D4" s="86" t="str">
        <f>Input!F20</f>
        <v>Profiling</v>
      </c>
      <c r="E4" s="48"/>
      <c r="F4" s="86" t="s">
        <v>357</v>
      </c>
      <c r="G4" s="165" t="str">
        <f>Input!F13</f>
        <v>Water analysis</v>
      </c>
      <c r="H4" s="165"/>
      <c r="I4" s="48"/>
      <c r="J4" s="176" t="s">
        <v>346</v>
      </c>
      <c r="K4" s="176"/>
      <c r="L4" s="50" t="str">
        <f>IF(Input!F11="Custom array",D3/G13,"")</f>
        <v/>
      </c>
    </row>
    <row r="5" spans="1:12" ht="30" x14ac:dyDescent="0.25">
      <c r="A5" s="173" t="s">
        <v>356</v>
      </c>
      <c r="B5" s="173"/>
      <c r="C5" s="173"/>
      <c r="D5" s="86" t="str">
        <f>Input!F22</f>
        <v/>
      </c>
      <c r="E5" s="48"/>
      <c r="F5" s="70" t="s">
        <v>312</v>
      </c>
      <c r="G5" s="167" t="str">
        <f>Input!F18</f>
        <v>48 (for 96-well array)</v>
      </c>
      <c r="H5" s="167"/>
      <c r="I5" s="51"/>
      <c r="J5" s="168" t="s">
        <v>275</v>
      </c>
      <c r="K5" s="168"/>
      <c r="L5" s="87" t="str">
        <f>Input!I15</f>
        <v>G-4</v>
      </c>
    </row>
    <row r="6" spans="1:12" s="53" customFormat="1" ht="3.75" customHeight="1" x14ac:dyDescent="0.25">
      <c r="A6" s="52"/>
      <c r="B6" s="52"/>
      <c r="C6" s="52"/>
      <c r="D6" s="48"/>
      <c r="E6" s="48"/>
      <c r="F6" s="48"/>
      <c r="G6" s="51"/>
      <c r="H6" s="51"/>
      <c r="I6" s="51"/>
      <c r="L6" s="48"/>
    </row>
    <row r="7" spans="1:12" ht="30.75" customHeight="1" x14ac:dyDescent="0.25">
      <c r="A7" s="166"/>
      <c r="B7" s="151" t="s">
        <v>361</v>
      </c>
      <c r="C7" s="151"/>
      <c r="D7" s="151"/>
      <c r="E7" s="151"/>
      <c r="F7" s="151"/>
      <c r="G7" s="151"/>
      <c r="H7" s="151"/>
      <c r="I7" s="151"/>
      <c r="J7" s="151"/>
      <c r="K7" s="166" t="s">
        <v>68</v>
      </c>
      <c r="L7" s="166"/>
    </row>
    <row r="8" spans="1:12" x14ac:dyDescent="0.25">
      <c r="A8" s="166"/>
      <c r="B8" s="151" t="s">
        <v>36</v>
      </c>
      <c r="C8" s="151" t="s">
        <v>55</v>
      </c>
      <c r="D8" s="151" t="s">
        <v>38</v>
      </c>
      <c r="E8" s="151"/>
      <c r="F8" s="151"/>
      <c r="G8" s="152" t="s">
        <v>362</v>
      </c>
      <c r="H8" s="151" t="s">
        <v>40</v>
      </c>
      <c r="I8" s="151"/>
      <c r="J8" s="151" t="s">
        <v>60</v>
      </c>
      <c r="K8" s="152" t="s">
        <v>363</v>
      </c>
      <c r="L8" s="151"/>
    </row>
    <row r="9" spans="1:12" x14ac:dyDescent="0.25">
      <c r="A9" s="166"/>
      <c r="B9" s="151"/>
      <c r="C9" s="151"/>
      <c r="D9" s="151"/>
      <c r="E9" s="151"/>
      <c r="F9" s="151"/>
      <c r="G9" s="153"/>
      <c r="H9" s="151"/>
      <c r="I9" s="151"/>
      <c r="J9" s="151"/>
      <c r="K9" s="153"/>
      <c r="L9" s="151"/>
    </row>
    <row r="10" spans="1:12" x14ac:dyDescent="0.25">
      <c r="A10" s="182" t="s">
        <v>97</v>
      </c>
      <c r="B10" s="64">
        <f>IF(Input!F11="Cataloged array",VLOOKUP(Input!F11,SAPIDs,2,FALSE),"")</f>
        <v>330261</v>
      </c>
      <c r="C10" s="79" t="str">
        <f>IF(Input!F11="Cataloged array",CONCATENATE(Input!K13,"-",Input!F16),"")</f>
        <v>BAID-1405ZFG-4</v>
      </c>
      <c r="D10" s="154" t="str">
        <f>IF(Input!F11="Cataloged array",VLOOKUP($B$10,SAPNames,2,FALSE),"")</f>
        <v>Microbial DNA qPCR Arrays</v>
      </c>
      <c r="E10" s="154"/>
      <c r="F10" s="154"/>
      <c r="G10" s="79">
        <f>IF(Input!F11="Cataloged array",VLOOKUP(Input!K13,NumberOfSamples,9,FALSE),"")</f>
        <v>48</v>
      </c>
      <c r="H10" s="155"/>
      <c r="I10" s="155"/>
      <c r="J10" s="65"/>
      <c r="K10" s="79">
        <f>IF(Input!F11="Cataloged array",ROUNDUP($D$3/G10,0),"")</f>
        <v>3</v>
      </c>
      <c r="L10" s="79"/>
    </row>
    <row r="11" spans="1:12" x14ac:dyDescent="0.25">
      <c r="A11" s="183"/>
      <c r="B11" s="64" t="str">
        <f>IF(Input!F11="Cataloged array","338132","")</f>
        <v>338132</v>
      </c>
      <c r="C11" s="79" t="str">
        <f>IF(Input!F11="Cataloged array","N/A","")</f>
        <v>N/A</v>
      </c>
      <c r="D11" s="179" t="str">
        <f>IF(Input!F11="Cataloged array",VLOOKUP($B$11,SAPNames,2,FALSE),"")</f>
        <v>Microbial DNA-Free Water</v>
      </c>
      <c r="E11" s="180"/>
      <c r="F11" s="181"/>
      <c r="G11" s="79" t="str">
        <f>IF(Input!F11="Cataloged array","100","")</f>
        <v>100</v>
      </c>
      <c r="H11" s="158"/>
      <c r="I11" s="159"/>
      <c r="J11" s="65"/>
      <c r="K11" s="79">
        <f>IF(Input!F11="Cataloged array",ROUNDUP($D$3/G10,0),"")</f>
        <v>3</v>
      </c>
      <c r="L11" s="79"/>
    </row>
    <row r="12" spans="1:12" x14ac:dyDescent="0.25">
      <c r="A12" s="184"/>
      <c r="B12" s="64" t="str">
        <f>IF(Input!F11="Cataloged array","338134","")</f>
        <v>338134</v>
      </c>
      <c r="C12" s="79" t="str">
        <f>IF(Input!F11="Cataloged array","N/A","")</f>
        <v>N/A</v>
      </c>
      <c r="D12" s="179" t="str">
        <f>IF(Input!F11="Cataloged array",VLOOKUP($B$12,SAPNames,2,FALSE),"")</f>
        <v xml:space="preserve">Microbial DNA Positive Control </v>
      </c>
      <c r="E12" s="180"/>
      <c r="F12" s="181"/>
      <c r="G12" s="79" t="str">
        <f>IF(Input!F11="Cataloged array","100","")</f>
        <v>100</v>
      </c>
      <c r="H12" s="158"/>
      <c r="I12" s="159"/>
      <c r="J12" s="65"/>
      <c r="K12" s="79">
        <f>IF(Input!F11="Cataloged array",ROUNDUP($D$3/G10,0),"")</f>
        <v>3</v>
      </c>
      <c r="L12" s="79"/>
    </row>
    <row r="13" spans="1:12" x14ac:dyDescent="0.25">
      <c r="A13" s="185" t="s">
        <v>281</v>
      </c>
      <c r="B13" s="82" t="str">
        <f>IF(Input!F11="Custom array",VLOOKUP(Input!F11,SAPIDs,2,FALSE),"")</f>
        <v/>
      </c>
      <c r="C13" s="82" t="str">
        <f>IF(Input!F11="Custom array",INDEX(Sheet4!B2:L3,MATCH(Input!I9,Sheet4!A2:A3,0),MATCH(Input!J18,Sheet4!B1:L1,0)),"")</f>
        <v/>
      </c>
      <c r="D13" s="157" t="str">
        <f>IF(Input!F11="Custom array",VLOOKUP($B$13,SAPNames,2,FALSE),"")</f>
        <v/>
      </c>
      <c r="E13" s="157"/>
      <c r="F13" s="157"/>
      <c r="G13" s="81" t="str">
        <f>IF(Input!F11="Custom array",Input!I9/Input!J18,"")</f>
        <v/>
      </c>
      <c r="H13" s="156" t="str">
        <f>IF(Input!F11="Custom array",INDEX(#REF!,MATCH(C13,#REF!,0),MATCH(Input!B4,#REF!,0)),"")</f>
        <v/>
      </c>
      <c r="I13" s="156"/>
      <c r="J13" s="66" t="str">
        <f>IF(Input!F11="Custom array",H13/G13,"")</f>
        <v/>
      </c>
      <c r="K13" s="82" t="str">
        <f>IF(Input!F11="Custom array",IF(L4&gt;D5,ROUNDUP($L$4/D5,0),"1"),"")</f>
        <v/>
      </c>
      <c r="L13" s="82" t="str">
        <f>IF(Input!F11="Custom array",K13*H13,"")</f>
        <v/>
      </c>
    </row>
    <row r="14" spans="1:12" x14ac:dyDescent="0.25">
      <c r="A14" s="186"/>
      <c r="B14" s="82" t="str">
        <f>IF(Input!F11="Custom array","338132","")</f>
        <v/>
      </c>
      <c r="C14" s="82" t="str">
        <f>IF(Input!F11="Custom array","N/A","")</f>
        <v/>
      </c>
      <c r="D14" s="169" t="str">
        <f>IF(Input!F11="Custom array",VLOOKUP($B$14,SAPNames,2,FALSE),"")</f>
        <v/>
      </c>
      <c r="E14" s="170"/>
      <c r="F14" s="171"/>
      <c r="G14" s="81" t="str">
        <f>IF(Input!F11="Custom array","100","")</f>
        <v/>
      </c>
      <c r="H14" s="177" t="str">
        <f>IF(Input!F11="Custom array",INDEX(#REF!,MATCH(B14,#REF!,0),MATCH(Input!B4,#REF!,0)),"")</f>
        <v/>
      </c>
      <c r="I14" s="178"/>
      <c r="J14" s="66" t="str">
        <f>IF(Input!F11="Custom array",H14/G14,"")</f>
        <v/>
      </c>
      <c r="K14" s="82" t="str">
        <f>IF(Input!F11="Custom array",ROUNDUP($D$3/G14,0),"")</f>
        <v/>
      </c>
      <c r="L14" s="82" t="str">
        <f>IF(Input!F11="Custom array",K14*H14,"")</f>
        <v/>
      </c>
    </row>
    <row r="15" spans="1:12" x14ac:dyDescent="0.25">
      <c r="A15" s="187"/>
      <c r="B15" s="82" t="str">
        <f>IF(Input!F11="Custom array","338134","")</f>
        <v/>
      </c>
      <c r="C15" s="82" t="str">
        <f>IF(Input!F11="Custom array","N/A","")</f>
        <v/>
      </c>
      <c r="D15" s="169" t="str">
        <f>IF(Input!F11="Custom array",VLOOKUP($B$15,SAPNames,2,FALSE),"")</f>
        <v/>
      </c>
      <c r="E15" s="170"/>
      <c r="F15" s="171"/>
      <c r="G15" s="81" t="str">
        <f>IF(Input!F11="Custom array","100","")</f>
        <v/>
      </c>
      <c r="H15" s="177" t="str">
        <f>IF(Input!F11="Custom array",INDEX(#REF!,MATCH(B15,#REF!,0),MATCH(Input!B4,#REF!,0)),"")</f>
        <v/>
      </c>
      <c r="I15" s="178"/>
      <c r="J15" s="66" t="str">
        <f>IF(Input!F11="Custom array",H15/G15,"")</f>
        <v/>
      </c>
      <c r="K15" s="82" t="str">
        <f>IF(Input!F11="Custom array",ROUNDUP($D$3/G15,0),"")</f>
        <v/>
      </c>
      <c r="L15" s="82" t="str">
        <f>IF(Input!F11="Custom array",K15*H15,"")</f>
        <v/>
      </c>
    </row>
    <row r="16" spans="1:12" x14ac:dyDescent="0.25">
      <c r="A16" s="67" t="s">
        <v>282</v>
      </c>
      <c r="B16" s="79" t="str">
        <f>IF(Input!F11="Custom assay",VLOOKUP(Input!F11,SAPIDs,2,FALSE),"")</f>
        <v/>
      </c>
      <c r="C16" s="79" t="str">
        <f>IF(Input!F11="Custom assay","N/A","")</f>
        <v/>
      </c>
      <c r="D16" s="154" t="str">
        <f>IF(Input!F11="Custom assay",VLOOKUP($B$16,SAPNames,2,FALSE),"")</f>
        <v/>
      </c>
      <c r="E16" s="154"/>
      <c r="F16" s="154"/>
      <c r="G16" s="80" t="str">
        <f>IF(Input!F11="Custom assay","100","")</f>
        <v/>
      </c>
      <c r="H16" s="154" t="str">
        <f>IF(Input!F11="Custom assay",INDEX(#REF!,MATCH(B16,#REF!,0),MATCH(Input!B4,#REF!,0)),"")</f>
        <v/>
      </c>
      <c r="I16" s="154"/>
      <c r="J16" s="65" t="str">
        <f>IF(Input!F11="Custom assay",H16/G16,"")</f>
        <v/>
      </c>
      <c r="K16" s="79" t="str">
        <f>IF(Input!F11="Custom assay",ROUNDUP($D$3/G16,0),"")</f>
        <v/>
      </c>
      <c r="L16" s="79" t="str">
        <f>IF(Input!F11="Custom assay",K16*H16,"")</f>
        <v/>
      </c>
    </row>
    <row r="17" spans="1:13" x14ac:dyDescent="0.25">
      <c r="A17" s="81" t="s">
        <v>283</v>
      </c>
      <c r="B17" s="82" t="str">
        <f>IF(Input!F11="Assay (100 samples)",VLOOKUP(Input!F11,SAPIDs,2,FALSE),"")</f>
        <v/>
      </c>
      <c r="C17" s="82" t="str">
        <f>IF(Input!F11="Assay (100 samples)","N/A","")</f>
        <v/>
      </c>
      <c r="D17" s="157" t="str">
        <f>IF(Input!F11="Assay (100 samples)",VLOOKUP($B$17,SAPNames,2,FALSE),"")</f>
        <v/>
      </c>
      <c r="E17" s="157"/>
      <c r="F17" s="157"/>
      <c r="G17" s="82" t="str">
        <f>IF(Input!F11="Assay (100 samples)","100","")</f>
        <v/>
      </c>
      <c r="H17" s="157" t="str">
        <f>IF(Input!F11="Assay (100 samples)",INDEX(#REF!,MATCH(B17,#REF!,0),MATCH(Input!B4,#REF!,0)),"")</f>
        <v/>
      </c>
      <c r="I17" s="157"/>
      <c r="J17" s="66" t="str">
        <f>IF(Input!F11="Assay (100 samples)",H17/G17,"")</f>
        <v/>
      </c>
      <c r="K17" s="82" t="str">
        <f>IF(Input!F11="Assay (100 samples)",ROUNDUP($D$3/G17,0),"")</f>
        <v/>
      </c>
      <c r="L17" s="82" t="str">
        <f>IF(Input!F11="Assay (100 samples)",K17*H17,"")</f>
        <v/>
      </c>
    </row>
    <row r="18" spans="1:13" x14ac:dyDescent="0.25">
      <c r="A18" s="156" t="s">
        <v>359</v>
      </c>
      <c r="B18" s="82" t="str">
        <f>IF(Input!F11="Assay (100 samples)","338132","")</f>
        <v/>
      </c>
      <c r="C18" s="82" t="str">
        <f>IF(Input!F11="Assay (100 samples)","N/A","")</f>
        <v/>
      </c>
      <c r="D18" s="169" t="str">
        <f>IF(Input!F11="Assay (100 samples)",VLOOKUP($B$18,SAPNames,2,FALSE),"")</f>
        <v/>
      </c>
      <c r="E18" s="170"/>
      <c r="F18" s="171"/>
      <c r="G18" s="82" t="str">
        <f>IF(Input!F11="Assay (100 samples)","100","")</f>
        <v/>
      </c>
      <c r="H18" s="169" t="str">
        <f>IF(Input!F11="Assay (100 samples)",INDEX(#REF!,MATCH(B18,#REF!,0),MATCH(Input!B4,#REF!,0)),"")</f>
        <v/>
      </c>
      <c r="I18" s="171"/>
      <c r="J18" s="66" t="str">
        <f>IF(Input!F11="Assay (100 samples)",H18/G18,"")</f>
        <v/>
      </c>
      <c r="K18" s="82" t="str">
        <f>IF(Input!F11="Assay (100 samples)",ROUNDUP($D$3/G18,0),"")</f>
        <v/>
      </c>
      <c r="L18" s="82" t="str">
        <f>IF(Input!F11="Assay (100 samples)",K18*H18,"")</f>
        <v/>
      </c>
    </row>
    <row r="19" spans="1:13" x14ac:dyDescent="0.25">
      <c r="A19" s="156"/>
      <c r="B19" s="82" t="str">
        <f>IF(Input!F11="Assay (100 samples)","338134","")</f>
        <v/>
      </c>
      <c r="C19" s="82" t="str">
        <f>IF(Input!F11="Assay (100 samples)","N/A","")</f>
        <v/>
      </c>
      <c r="D19" s="169" t="str">
        <f>IF(Input!F11="Assay (100 samples)",VLOOKUP($B$19,SAPNames,2,FALSE),"")</f>
        <v/>
      </c>
      <c r="E19" s="170"/>
      <c r="F19" s="171"/>
      <c r="G19" s="82" t="str">
        <f>IF(Input!F11="Assay (100 samples)","100","")</f>
        <v/>
      </c>
      <c r="H19" s="169" t="str">
        <f>IF(Input!F11="Assay (100 samples)",INDEX(#REF!,MATCH(B19,#REF!,0),MATCH(Input!B4,#REF!,0)),"")</f>
        <v/>
      </c>
      <c r="I19" s="171"/>
      <c r="J19" s="66" t="str">
        <f>IF(Input!F11="Assay (100 samples)",H19/G19,"")</f>
        <v/>
      </c>
      <c r="K19" s="82" t="str">
        <f>IF(Input!F11="Assay (100 samples)",ROUNDUP($D$3/G19,0),"")</f>
        <v/>
      </c>
      <c r="L19" s="82" t="str">
        <f>IF(Input!F11="Assay (100 samples)",K19*H19,"")</f>
        <v/>
      </c>
    </row>
    <row r="20" spans="1:13" x14ac:dyDescent="0.25">
      <c r="A20" s="156"/>
      <c r="B20" s="82"/>
      <c r="C20" s="82"/>
      <c r="D20" s="169"/>
      <c r="E20" s="170"/>
      <c r="F20" s="171"/>
      <c r="G20" s="82"/>
      <c r="H20" s="88"/>
      <c r="I20" s="89"/>
      <c r="J20" s="66"/>
      <c r="K20" s="82"/>
      <c r="L20" s="82"/>
    </row>
    <row r="21" spans="1:13" x14ac:dyDescent="0.25">
      <c r="A21" s="156"/>
      <c r="B21" s="82" t="str">
        <f>IF(Input!F11="Assay (100 samples)",IF(Input!F20="Identification","","330025"),"")</f>
        <v/>
      </c>
      <c r="C21" s="82" t="str">
        <f>IF(Input!F11="Assay (100 samples)",IF(Input!F20="Identification","",VLOOKUP(Input!F4,Normalizers,3,FALSE)),"")</f>
        <v/>
      </c>
      <c r="D21" s="169" t="str">
        <f>IF(Input!F11="Assay (100 samples)",IF(Input!F20="Identification","",VLOOKUP(Input!F4,Normalizers,2,FALSE)),"")</f>
        <v/>
      </c>
      <c r="E21" s="170"/>
      <c r="F21" s="171"/>
      <c r="G21" s="82" t="str">
        <f>IF(Input!F11="Assay (100 samples)",IF(Input!F20="Profiling","100",IF(Input!F20="Both","100","")),"")</f>
        <v/>
      </c>
      <c r="H21" s="169" t="str">
        <f>IF(Input!F11="Assay (100 samples)",IF(Input!F20="Identification","",INDEX(#REF!,MATCH(C21,#REF!,0),MATCH(Input!B4,#REF!,0))),"")</f>
        <v/>
      </c>
      <c r="I21" s="171"/>
      <c r="J21" s="66" t="str">
        <f>IF(Input!F11="Assay (100 samples)",IF(Input!F20="Identification","",H21/G21),"")</f>
        <v/>
      </c>
      <c r="K21" s="82" t="str">
        <f>IF(Input!F11="Assay (100 samples)",IF(Input!F20="Identification","",ROUNDUP($D$3/G21,0)),"")</f>
        <v/>
      </c>
      <c r="L21" s="82" t="str">
        <f>IF(Input!F11="Assay (100 samples)",IF(Input!F20="Identification","",K21*H21),"")</f>
        <v/>
      </c>
    </row>
    <row r="22" spans="1:13" x14ac:dyDescent="0.25">
      <c r="A22" s="156"/>
      <c r="B22" s="82" t="str">
        <f>IF(Input!F11="Assay (100 samples)",IF(Input!F4="bacteria",IF(Input!F20="Identification","","330025"),""),"")</f>
        <v/>
      </c>
      <c r="C22" s="82" t="str">
        <f>IF(Input!F11="Assay (100 samples)",IF(Input!F4="bacteria",IF(Input!F20="Profiling","BPCL00362A",IF(Input!F20="Both","BPCL00362A","")),""),"")</f>
        <v/>
      </c>
      <c r="D22" s="169" t="str">
        <f>IF(Input!F11="Assay (100 samples)",IF(Input!F4="bacteria",IF(Input!F20="Profiling","Pan bacteria 3 Normalizer",IF(Input!F20="Both","Pan bacteria 3 Normalizer","")),""),"")</f>
        <v/>
      </c>
      <c r="E22" s="170"/>
      <c r="F22" s="171"/>
      <c r="G22" s="82" t="str">
        <f>IF(Input!F11="Assay (100 samples)",IF(Input!F4="bacteria",IF(Input!F20="Profiling","100",IF(Input!F20="Both","100","")),""),"")</f>
        <v/>
      </c>
      <c r="H22" s="169" t="str">
        <f>IF(Input!F11="Assay (100 samples)",IF(Input!F4="bacteria",IF(Input!F20="Identification","",INDEX(#REF!,MATCH(C22,#REF!,0),MATCH(Input!B4,#REF!,0))),""),"")</f>
        <v/>
      </c>
      <c r="I22" s="171"/>
      <c r="J22" s="66" t="str">
        <f>IF(Input!F11="Assay (100 samples)",IF(Input!F4="bacteria",IF(Input!F20="Identification","",H22/G22),""),"")</f>
        <v/>
      </c>
      <c r="K22" s="82" t="str">
        <f>IF(Input!F11="Assay (100 samples)",IF(Input!F4="bacteria",IF(Input!F20="Identification","",ROUNDUP($D$3/G22,0)),""),"")</f>
        <v/>
      </c>
      <c r="L22" s="82" t="str">
        <f>IF(Input!F11="Assay (100 samples)",IF(Input!F4="bacteria",IF(Input!F20="Identification","",K22*H22),""),"")</f>
        <v/>
      </c>
    </row>
    <row r="23" spans="1:13" ht="32.25" customHeight="1" x14ac:dyDescent="0.25">
      <c r="A23" s="67" t="s">
        <v>360</v>
      </c>
      <c r="B23" s="79" t="str">
        <f>IF(Input!F11="Assay Kit (20 samples)",VLOOKUP(Input!F11,SAPIDs,2,FALSE),"")</f>
        <v/>
      </c>
      <c r="C23" s="79" t="str">
        <f>IF(Input!F11="Assay Kit (20 samples)","N/A","")</f>
        <v/>
      </c>
      <c r="D23" s="154" t="str">
        <f>IF(Input!F11="Assay Kit (20 samples)",VLOOKUP($B$23,SAPNames,2,FALSE),"")</f>
        <v/>
      </c>
      <c r="E23" s="154"/>
      <c r="F23" s="154"/>
      <c r="G23" s="79" t="str">
        <f>IF(Input!F11="Assay Kit (20 samples)","20","")</f>
        <v/>
      </c>
      <c r="H23" s="154" t="str">
        <f>IF(Input!F11="Assay Kit (20 samples)",INDEX(#REF!,MATCH(B23,#REF!,0),MATCH(Input!B4,#REF!,0)),"")</f>
        <v/>
      </c>
      <c r="I23" s="154"/>
      <c r="J23" s="65" t="str">
        <f>IF(Input!F11="Assay Kit (20 samples)",H23/G23,"")</f>
        <v/>
      </c>
      <c r="K23" s="79" t="str">
        <f>IF(Input!F11="Assay Kit (20 samples)",ROUNDUP($D$3/G23,0),"")</f>
        <v/>
      </c>
      <c r="L23" s="79" t="str">
        <f>IF(Input!F11="Assay Kit (20 samples)",K23*H23,"")</f>
        <v/>
      </c>
    </row>
    <row r="24" spans="1:13" ht="32.25" customHeight="1" x14ac:dyDescent="0.25">
      <c r="A24" s="174" t="s">
        <v>294</v>
      </c>
      <c r="B24" s="79" t="str">
        <f>IF(Input!F11="Assay Kit (20 samples)",IF(Input!F20="Identification","",VLOOKUP("Assay (100 samples)",SAPIDs,2,FALSE)),"")</f>
        <v/>
      </c>
      <c r="C24" s="79" t="str">
        <f>IF(Input!F11="Assay Kit (20 samples)",IF(Input!F20="Identification","",VLOOKUP(Input!F4,Normalizers,3,FALSE)),"")</f>
        <v/>
      </c>
      <c r="D24" s="179" t="str">
        <f>IF(Input!F11="Assay Kit (20 samples)",IF(Input!F20="Identification","",VLOOKUP(Input!F4,Normalizers,2,FALSE)),"")</f>
        <v/>
      </c>
      <c r="E24" s="180"/>
      <c r="F24" s="181"/>
      <c r="G24" s="79" t="str">
        <f>IF(Input!F11="Assay Kit (20 samples)",IF(Input!F20="Profiling","100",IF(Input!F20="Both","100","")),"")</f>
        <v/>
      </c>
      <c r="H24" s="179" t="str">
        <f>IF(Input!F11="Assay Kit (20 samples)",IF(Input!F20="Identification","",INDEX(#REF!,MATCH(B24,#REF!,0),MATCH(Input!B4,#REF!,0))),"")</f>
        <v/>
      </c>
      <c r="I24" s="181"/>
      <c r="J24" s="65" t="str">
        <f>IF(Input!F11="Assay Kit (20 samples)",IF(Input!F20="Identification","",H24/G24),"")</f>
        <v/>
      </c>
      <c r="K24" s="79" t="str">
        <f>IF(Input!F11="Assay Kit (20 samples)",IF(Input!F20="Identification","",ROUNDUP($D$3/G24,0)),"")</f>
        <v/>
      </c>
      <c r="L24" s="79" t="str">
        <f>IF(Input!F11="Assay Kit (20 samples)",IF(Input!F20="Identification","",K24*H24),"")</f>
        <v/>
      </c>
    </row>
    <row r="25" spans="1:13" ht="45" customHeight="1" x14ac:dyDescent="0.25">
      <c r="A25" s="175"/>
      <c r="B25" s="79" t="str">
        <f>IF(Input!F11="Assay Kit (20 samples)",IF(Input!F20="Identification","",IF(Input!F4="Bacteria",VLOOKUP("Assay (100 samples)",SAPIDs,2,FALSE),"")),"")</f>
        <v/>
      </c>
      <c r="C25" s="79" t="str">
        <f>IF(Input!F11="Assay Kit (20 samples)",IF(Input!F4="bacteria",IF(Input!F20="Profiling","BPCL00362A",IF(Input!F20="Both","BPCL00362A","")),""),"")</f>
        <v/>
      </c>
      <c r="D25" s="154" t="str">
        <f>IF(Input!F11="Assay Kit (20 samples)",IF(Input!F4="bacteria",IF(Input!F20="Profiling","Pan bacteria 3 Normalizer",IF(Input!F20="Both","Pan bacteria 3 Normalizer","")),""),"")</f>
        <v/>
      </c>
      <c r="E25" s="154"/>
      <c r="F25" s="154"/>
      <c r="G25" s="79" t="str">
        <f>IF(Input!F11="Assay Kit (20 samples)",IF(Input!F4="bacteria",IF(Input!F20="Profiling","100",IF(Input!F20="Both","100","")),""),"")</f>
        <v/>
      </c>
      <c r="H25" s="154" t="str">
        <f>IF(Input!F11="Assay Kit (20 samples)",IF(Input!F4="bacteria",IF(Input!F20="Identification","",INDEX(#REF!,MATCH(B25,#REF!,0),MATCH(Input!B4,#REF!,0))),""),"")</f>
        <v/>
      </c>
      <c r="I25" s="154"/>
      <c r="J25" s="65" t="str">
        <f>IF(Input!F11="Assay Kit (20 samples)",IF(Input!F4="bacteria",IF(Input!F20="Identification","",H25/G25),""),"")</f>
        <v/>
      </c>
      <c r="K25" s="79" t="str">
        <f>IF(Input!F11="Assay Kit (20 samples)",IF(Input!F4="bacteria",IF(Input!F20="Identification","",ROUNDUP($D$3/G25,0)),""),"")</f>
        <v/>
      </c>
      <c r="L25" s="79" t="str">
        <f>IF(Input!F11="Assay Kit (20 samples)",IF(Input!F4="bacteria",IF(Input!F20="Identification","",K25*H25),""),"")</f>
        <v/>
      </c>
      <c r="M25" s="54" t="str">
        <f>IF(B25="4474517","Not from QIAGEN",IF(B25="514105","Not from QIAGEN",""))</f>
        <v/>
      </c>
    </row>
    <row r="26" spans="1:13" x14ac:dyDescent="0.25">
      <c r="A26" s="163" t="s">
        <v>69</v>
      </c>
      <c r="B26" s="163"/>
      <c r="C26" s="163"/>
      <c r="D26" s="163"/>
      <c r="E26" s="163"/>
      <c r="F26" s="163"/>
      <c r="G26" s="163"/>
      <c r="H26" s="163"/>
      <c r="I26" s="163"/>
      <c r="J26" s="68"/>
      <c r="K26" s="85"/>
      <c r="L26" s="85"/>
    </row>
    <row r="28" spans="1:13" x14ac:dyDescent="0.25">
      <c r="A28" s="162"/>
      <c r="B28" s="162"/>
      <c r="C28" s="162"/>
      <c r="D28" s="162"/>
      <c r="E28" s="84"/>
      <c r="F28" s="84"/>
    </row>
    <row r="29" spans="1:13" x14ac:dyDescent="0.25">
      <c r="A29" s="160"/>
      <c r="B29" s="160"/>
      <c r="C29" s="160"/>
      <c r="D29" s="160"/>
      <c r="E29" s="83"/>
      <c r="F29" s="83"/>
    </row>
    <row r="30" spans="1:13" x14ac:dyDescent="0.25">
      <c r="A30" s="55"/>
    </row>
    <row r="31" spans="1:13" x14ac:dyDescent="0.25">
      <c r="A31" s="161"/>
      <c r="B31" s="161"/>
      <c r="C31" s="161"/>
      <c r="D31" s="161"/>
    </row>
    <row r="32" spans="1:13" x14ac:dyDescent="0.25">
      <c r="A32" s="55"/>
    </row>
    <row r="33" spans="1:1" x14ac:dyDescent="0.25">
      <c r="A33" s="56"/>
    </row>
    <row r="34" spans="1:1" x14ac:dyDescent="0.25">
      <c r="A34" s="55"/>
    </row>
  </sheetData>
  <mergeCells count="64">
    <mergeCell ref="A24:A25"/>
    <mergeCell ref="D21:F21"/>
    <mergeCell ref="D20:F20"/>
    <mergeCell ref="H21:I21"/>
    <mergeCell ref="J4:K4"/>
    <mergeCell ref="H12:I12"/>
    <mergeCell ref="H14:I14"/>
    <mergeCell ref="H15:I15"/>
    <mergeCell ref="D24:F24"/>
    <mergeCell ref="H24:I24"/>
    <mergeCell ref="A10:A12"/>
    <mergeCell ref="A13:A15"/>
    <mergeCell ref="D14:F14"/>
    <mergeCell ref="D15:F15"/>
    <mergeCell ref="D11:F11"/>
    <mergeCell ref="D12:F12"/>
    <mergeCell ref="L2:L3"/>
    <mergeCell ref="J5:K5"/>
    <mergeCell ref="A18:A22"/>
    <mergeCell ref="D18:F18"/>
    <mergeCell ref="D19:F19"/>
    <mergeCell ref="D22:F22"/>
    <mergeCell ref="H18:I18"/>
    <mergeCell ref="H19:I19"/>
    <mergeCell ref="H22:I22"/>
    <mergeCell ref="H8:I8"/>
    <mergeCell ref="J2:K3"/>
    <mergeCell ref="A4:C4"/>
    <mergeCell ref="A7:A9"/>
    <mergeCell ref="B8:B9"/>
    <mergeCell ref="C8:C9"/>
    <mergeCell ref="A5:C5"/>
    <mergeCell ref="A29:D29"/>
    <mergeCell ref="A31:D31"/>
    <mergeCell ref="A28:D28"/>
    <mergeCell ref="A26:I26"/>
    <mergeCell ref="A1:L1"/>
    <mergeCell ref="D8:F9"/>
    <mergeCell ref="G3:H3"/>
    <mergeCell ref="G4:H4"/>
    <mergeCell ref="G2:H2"/>
    <mergeCell ref="A3:C3"/>
    <mergeCell ref="A2:C2"/>
    <mergeCell ref="K7:L7"/>
    <mergeCell ref="J8:J9"/>
    <mergeCell ref="K8:K9"/>
    <mergeCell ref="L8:L9"/>
    <mergeCell ref="G5:H5"/>
    <mergeCell ref="B7:J7"/>
    <mergeCell ref="H9:I9"/>
    <mergeCell ref="G8:G9"/>
    <mergeCell ref="H16:I16"/>
    <mergeCell ref="H25:I25"/>
    <mergeCell ref="H23:I23"/>
    <mergeCell ref="D23:F23"/>
    <mergeCell ref="D25:F25"/>
    <mergeCell ref="H10:I10"/>
    <mergeCell ref="H13:I13"/>
    <mergeCell ref="H17:I17"/>
    <mergeCell ref="D16:F16"/>
    <mergeCell ref="D10:F10"/>
    <mergeCell ref="D13:F13"/>
    <mergeCell ref="D17:F17"/>
    <mergeCell ref="H11:I11"/>
  </mergeCells>
  <printOptions horizontalCentered="1" verticalCentered="1"/>
  <pageMargins left="0.25" right="0.25" top="0.75" bottom="0.75" header="1.8" footer="0.3"/>
  <pageSetup scale="75" orientation="landscape" r:id="rId1"/>
  <headerFooter>
    <oddHeader>&amp;C&amp;"-,Bold"Targeted NGS workflow using the GeneRead DNAseq Panels V2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workbookViewId="0">
      <selection activeCell="J2" sqref="J2"/>
    </sheetView>
  </sheetViews>
  <sheetFormatPr defaultRowHeight="15" x14ac:dyDescent="0.25"/>
  <cols>
    <col min="1" max="1" width="13.5703125" bestFit="1" customWidth="1"/>
  </cols>
  <sheetData>
    <row r="1" spans="1:10" x14ac:dyDescent="0.25">
      <c r="B1">
        <v>2</v>
      </c>
      <c r="C1">
        <v>12</v>
      </c>
      <c r="D1">
        <v>24</v>
      </c>
      <c r="E1">
        <v>1</v>
      </c>
      <c r="F1">
        <v>4</v>
      </c>
      <c r="G1">
        <v>16</v>
      </c>
      <c r="H1" t="s">
        <v>298</v>
      </c>
      <c r="I1" t="s">
        <v>299</v>
      </c>
      <c r="J1" t="s">
        <v>297</v>
      </c>
    </row>
    <row r="2" spans="1:10" x14ac:dyDescent="0.25">
      <c r="A2" s="3" t="s">
        <v>102</v>
      </c>
      <c r="B2" t="s">
        <v>62</v>
      </c>
      <c r="C2" t="s">
        <v>252</v>
      </c>
      <c r="D2" t="s">
        <v>253</v>
      </c>
      <c r="H2">
        <v>96</v>
      </c>
      <c r="I2">
        <v>96</v>
      </c>
      <c r="J2">
        <f>H2/I2</f>
        <v>1</v>
      </c>
    </row>
    <row r="3" spans="1:10" x14ac:dyDescent="0.25">
      <c r="A3" s="3" t="s">
        <v>103</v>
      </c>
      <c r="B3" t="s">
        <v>62</v>
      </c>
      <c r="C3" t="s">
        <v>252</v>
      </c>
      <c r="D3" t="s">
        <v>253</v>
      </c>
      <c r="H3">
        <v>96</v>
      </c>
      <c r="I3">
        <v>48</v>
      </c>
      <c r="J3">
        <f t="shared" ref="J3:J66" si="0">H3/I3</f>
        <v>2</v>
      </c>
    </row>
    <row r="4" spans="1:10" x14ac:dyDescent="0.25">
      <c r="A4" s="3" t="s">
        <v>104</v>
      </c>
      <c r="B4" t="s">
        <v>62</v>
      </c>
      <c r="C4" t="s">
        <v>252</v>
      </c>
      <c r="D4" t="s">
        <v>253</v>
      </c>
      <c r="H4">
        <v>96</v>
      </c>
      <c r="I4">
        <v>12</v>
      </c>
      <c r="J4">
        <f t="shared" si="0"/>
        <v>8</v>
      </c>
    </row>
    <row r="5" spans="1:10" x14ac:dyDescent="0.25">
      <c r="A5" s="3" t="s">
        <v>105</v>
      </c>
      <c r="B5" t="s">
        <v>62</v>
      </c>
      <c r="C5" t="s">
        <v>252</v>
      </c>
      <c r="D5" t="s">
        <v>253</v>
      </c>
      <c r="H5">
        <v>96</v>
      </c>
      <c r="I5">
        <v>24</v>
      </c>
      <c r="J5">
        <f t="shared" si="0"/>
        <v>4</v>
      </c>
    </row>
    <row r="6" spans="1:10" x14ac:dyDescent="0.25">
      <c r="A6" s="3" t="s">
        <v>106</v>
      </c>
      <c r="B6" t="s">
        <v>62</v>
      </c>
      <c r="C6" t="s">
        <v>252</v>
      </c>
      <c r="D6" t="s">
        <v>253</v>
      </c>
      <c r="H6">
        <v>96</v>
      </c>
      <c r="I6">
        <v>24</v>
      </c>
      <c r="J6">
        <f t="shared" si="0"/>
        <v>4</v>
      </c>
    </row>
    <row r="7" spans="1:10" x14ac:dyDescent="0.25">
      <c r="A7" s="3" t="s">
        <v>107</v>
      </c>
      <c r="B7" t="s">
        <v>62</v>
      </c>
      <c r="C7" t="s">
        <v>252</v>
      </c>
      <c r="D7" t="s">
        <v>253</v>
      </c>
      <c r="H7">
        <v>96</v>
      </c>
      <c r="I7">
        <v>12</v>
      </c>
      <c r="J7">
        <f t="shared" si="0"/>
        <v>8</v>
      </c>
    </row>
    <row r="8" spans="1:10" x14ac:dyDescent="0.25">
      <c r="A8" s="3" t="s">
        <v>108</v>
      </c>
      <c r="B8" t="s">
        <v>62</v>
      </c>
      <c r="C8" t="s">
        <v>252</v>
      </c>
      <c r="D8" t="s">
        <v>253</v>
      </c>
      <c r="H8">
        <v>96</v>
      </c>
      <c r="I8">
        <v>12</v>
      </c>
      <c r="J8">
        <f t="shared" si="0"/>
        <v>8</v>
      </c>
    </row>
    <row r="9" spans="1:10" x14ac:dyDescent="0.25">
      <c r="A9" s="3" t="s">
        <v>109</v>
      </c>
      <c r="B9" t="s">
        <v>62</v>
      </c>
      <c r="C9" t="s">
        <v>252</v>
      </c>
      <c r="D9" t="s">
        <v>253</v>
      </c>
      <c r="H9">
        <v>96</v>
      </c>
      <c r="I9">
        <v>12</v>
      </c>
      <c r="J9">
        <f t="shared" si="0"/>
        <v>8</v>
      </c>
    </row>
    <row r="10" spans="1:10" x14ac:dyDescent="0.25">
      <c r="A10" s="3" t="s">
        <v>110</v>
      </c>
      <c r="B10" t="s">
        <v>62</v>
      </c>
      <c r="C10" t="s">
        <v>252</v>
      </c>
      <c r="D10" t="s">
        <v>253</v>
      </c>
      <c r="H10">
        <v>96</v>
      </c>
      <c r="I10">
        <v>48</v>
      </c>
      <c r="J10">
        <f t="shared" si="0"/>
        <v>2</v>
      </c>
    </row>
    <row r="11" spans="1:10" x14ac:dyDescent="0.25">
      <c r="A11" s="3" t="s">
        <v>300</v>
      </c>
      <c r="B11" t="s">
        <v>62</v>
      </c>
      <c r="C11" t="s">
        <v>252</v>
      </c>
      <c r="D11" t="s">
        <v>253</v>
      </c>
      <c r="H11">
        <v>96</v>
      </c>
      <c r="I11">
        <v>48</v>
      </c>
      <c r="J11">
        <f t="shared" si="0"/>
        <v>2</v>
      </c>
    </row>
    <row r="12" spans="1:10" x14ac:dyDescent="0.25">
      <c r="A12" s="3" t="s">
        <v>111</v>
      </c>
      <c r="B12" t="s">
        <v>62</v>
      </c>
      <c r="C12" t="s">
        <v>252</v>
      </c>
      <c r="D12" t="s">
        <v>253</v>
      </c>
      <c r="H12">
        <v>96</v>
      </c>
      <c r="I12">
        <v>96</v>
      </c>
      <c r="J12">
        <f t="shared" si="0"/>
        <v>1</v>
      </c>
    </row>
    <row r="13" spans="1:10" x14ac:dyDescent="0.25">
      <c r="A13" s="3" t="s">
        <v>112</v>
      </c>
      <c r="B13" t="s">
        <v>62</v>
      </c>
      <c r="C13" t="s">
        <v>252</v>
      </c>
      <c r="D13" t="s">
        <v>253</v>
      </c>
      <c r="H13">
        <v>96</v>
      </c>
      <c r="I13">
        <v>12</v>
      </c>
      <c r="J13">
        <f t="shared" si="0"/>
        <v>8</v>
      </c>
    </row>
    <row r="14" spans="1:10" x14ac:dyDescent="0.25">
      <c r="A14" s="3" t="s">
        <v>113</v>
      </c>
      <c r="B14" t="s">
        <v>62</v>
      </c>
      <c r="C14" t="s">
        <v>252</v>
      </c>
      <c r="D14" t="s">
        <v>253</v>
      </c>
      <c r="H14">
        <v>96</v>
      </c>
      <c r="I14">
        <v>96</v>
      </c>
      <c r="J14">
        <f t="shared" si="0"/>
        <v>1</v>
      </c>
    </row>
    <row r="15" spans="1:10" x14ac:dyDescent="0.25">
      <c r="A15" s="3" t="s">
        <v>114</v>
      </c>
      <c r="B15" t="s">
        <v>62</v>
      </c>
      <c r="C15" t="s">
        <v>252</v>
      </c>
      <c r="D15" t="s">
        <v>253</v>
      </c>
      <c r="H15">
        <v>96</v>
      </c>
      <c r="I15">
        <v>48</v>
      </c>
      <c r="J15">
        <f t="shared" si="0"/>
        <v>2</v>
      </c>
    </row>
    <row r="16" spans="1:10" x14ac:dyDescent="0.25">
      <c r="A16" s="3" t="s">
        <v>115</v>
      </c>
      <c r="B16" t="s">
        <v>62</v>
      </c>
      <c r="C16" t="s">
        <v>252</v>
      </c>
      <c r="D16" t="s">
        <v>253</v>
      </c>
      <c r="H16">
        <v>96</v>
      </c>
      <c r="I16">
        <v>48</v>
      </c>
      <c r="J16">
        <f t="shared" si="0"/>
        <v>2</v>
      </c>
    </row>
    <row r="17" spans="1:10" x14ac:dyDescent="0.25">
      <c r="A17" s="3" t="s">
        <v>116</v>
      </c>
      <c r="B17" t="s">
        <v>62</v>
      </c>
      <c r="C17" t="s">
        <v>252</v>
      </c>
      <c r="D17" t="s">
        <v>253</v>
      </c>
      <c r="H17">
        <v>96</v>
      </c>
      <c r="I17">
        <v>96</v>
      </c>
      <c r="J17">
        <f t="shared" si="0"/>
        <v>1</v>
      </c>
    </row>
    <row r="18" spans="1:10" x14ac:dyDescent="0.25">
      <c r="A18" s="3" t="s">
        <v>117</v>
      </c>
      <c r="B18" t="s">
        <v>63</v>
      </c>
      <c r="C18" t="s">
        <v>254</v>
      </c>
      <c r="D18" t="s">
        <v>255</v>
      </c>
      <c r="H18">
        <v>96</v>
      </c>
      <c r="I18">
        <v>96</v>
      </c>
      <c r="J18">
        <f t="shared" si="0"/>
        <v>1</v>
      </c>
    </row>
    <row r="19" spans="1:10" x14ac:dyDescent="0.25">
      <c r="A19" s="3" t="s">
        <v>118</v>
      </c>
      <c r="B19" t="s">
        <v>63</v>
      </c>
      <c r="C19" t="s">
        <v>254</v>
      </c>
      <c r="D19" t="s">
        <v>255</v>
      </c>
      <c r="H19">
        <v>96</v>
      </c>
      <c r="I19">
        <v>48</v>
      </c>
      <c r="J19">
        <f t="shared" si="0"/>
        <v>2</v>
      </c>
    </row>
    <row r="20" spans="1:10" x14ac:dyDescent="0.25">
      <c r="A20" s="3" t="s">
        <v>119</v>
      </c>
      <c r="B20" t="s">
        <v>63</v>
      </c>
      <c r="C20" t="s">
        <v>254</v>
      </c>
      <c r="D20" t="s">
        <v>255</v>
      </c>
      <c r="H20">
        <v>96</v>
      </c>
      <c r="I20">
        <v>12</v>
      </c>
      <c r="J20">
        <f t="shared" si="0"/>
        <v>8</v>
      </c>
    </row>
    <row r="21" spans="1:10" x14ac:dyDescent="0.25">
      <c r="A21" s="3" t="s">
        <v>120</v>
      </c>
      <c r="B21" t="s">
        <v>63</v>
      </c>
      <c r="C21" t="s">
        <v>254</v>
      </c>
      <c r="D21" t="s">
        <v>255</v>
      </c>
      <c r="H21">
        <v>96</v>
      </c>
      <c r="I21">
        <v>24</v>
      </c>
      <c r="J21">
        <f t="shared" si="0"/>
        <v>4</v>
      </c>
    </row>
    <row r="22" spans="1:10" x14ac:dyDescent="0.25">
      <c r="A22" s="3" t="s">
        <v>121</v>
      </c>
      <c r="B22" t="s">
        <v>63</v>
      </c>
      <c r="C22" t="s">
        <v>254</v>
      </c>
      <c r="D22" t="s">
        <v>255</v>
      </c>
      <c r="H22">
        <v>96</v>
      </c>
      <c r="I22">
        <v>24</v>
      </c>
      <c r="J22">
        <f t="shared" si="0"/>
        <v>4</v>
      </c>
    </row>
    <row r="23" spans="1:10" x14ac:dyDescent="0.25">
      <c r="A23" s="3" t="s">
        <v>122</v>
      </c>
      <c r="B23" t="s">
        <v>63</v>
      </c>
      <c r="C23" t="s">
        <v>254</v>
      </c>
      <c r="D23" t="s">
        <v>255</v>
      </c>
      <c r="H23">
        <v>96</v>
      </c>
      <c r="I23">
        <v>12</v>
      </c>
      <c r="J23">
        <f t="shared" si="0"/>
        <v>8</v>
      </c>
    </row>
    <row r="24" spans="1:10" x14ac:dyDescent="0.25">
      <c r="A24" s="3" t="s">
        <v>123</v>
      </c>
      <c r="B24" t="s">
        <v>63</v>
      </c>
      <c r="C24" t="s">
        <v>254</v>
      </c>
      <c r="D24" t="s">
        <v>255</v>
      </c>
      <c r="H24">
        <v>96</v>
      </c>
      <c r="I24">
        <v>12</v>
      </c>
      <c r="J24">
        <f t="shared" si="0"/>
        <v>8</v>
      </c>
    </row>
    <row r="25" spans="1:10" x14ac:dyDescent="0.25">
      <c r="A25" s="3" t="s">
        <v>124</v>
      </c>
      <c r="B25" t="s">
        <v>63</v>
      </c>
      <c r="C25" t="s">
        <v>254</v>
      </c>
      <c r="D25" t="s">
        <v>255</v>
      </c>
      <c r="H25">
        <v>96</v>
      </c>
      <c r="I25">
        <v>12</v>
      </c>
      <c r="J25">
        <f t="shared" si="0"/>
        <v>8</v>
      </c>
    </row>
    <row r="26" spans="1:10" x14ac:dyDescent="0.25">
      <c r="A26" s="3" t="s">
        <v>125</v>
      </c>
      <c r="B26" t="s">
        <v>63</v>
      </c>
      <c r="C26" t="s">
        <v>254</v>
      </c>
      <c r="D26" t="s">
        <v>255</v>
      </c>
      <c r="H26">
        <v>96</v>
      </c>
      <c r="I26">
        <v>48</v>
      </c>
      <c r="J26">
        <f t="shared" si="0"/>
        <v>2</v>
      </c>
    </row>
    <row r="27" spans="1:10" x14ac:dyDescent="0.25">
      <c r="A27" s="3" t="s">
        <v>301</v>
      </c>
      <c r="B27" t="s">
        <v>63</v>
      </c>
      <c r="C27" t="s">
        <v>254</v>
      </c>
      <c r="D27" t="s">
        <v>255</v>
      </c>
      <c r="H27">
        <v>96</v>
      </c>
      <c r="I27">
        <v>48</v>
      </c>
      <c r="J27">
        <f t="shared" si="0"/>
        <v>2</v>
      </c>
    </row>
    <row r="28" spans="1:10" x14ac:dyDescent="0.25">
      <c r="A28" s="3" t="s">
        <v>126</v>
      </c>
      <c r="B28" t="s">
        <v>63</v>
      </c>
      <c r="C28" t="s">
        <v>254</v>
      </c>
      <c r="D28" t="s">
        <v>255</v>
      </c>
      <c r="H28">
        <v>96</v>
      </c>
      <c r="I28">
        <v>96</v>
      </c>
      <c r="J28">
        <f t="shared" si="0"/>
        <v>1</v>
      </c>
    </row>
    <row r="29" spans="1:10" x14ac:dyDescent="0.25">
      <c r="A29" s="3" t="s">
        <v>127</v>
      </c>
      <c r="B29" t="s">
        <v>63</v>
      </c>
      <c r="C29" t="s">
        <v>254</v>
      </c>
      <c r="D29" t="s">
        <v>255</v>
      </c>
      <c r="H29">
        <v>96</v>
      </c>
      <c r="I29">
        <v>12</v>
      </c>
      <c r="J29">
        <f t="shared" si="0"/>
        <v>8</v>
      </c>
    </row>
    <row r="30" spans="1:10" x14ac:dyDescent="0.25">
      <c r="A30" s="3" t="s">
        <v>128</v>
      </c>
      <c r="B30" t="s">
        <v>63</v>
      </c>
      <c r="C30" t="s">
        <v>254</v>
      </c>
      <c r="D30" t="s">
        <v>255</v>
      </c>
      <c r="H30">
        <v>96</v>
      </c>
      <c r="I30">
        <v>96</v>
      </c>
      <c r="J30">
        <f t="shared" si="0"/>
        <v>1</v>
      </c>
    </row>
    <row r="31" spans="1:10" x14ac:dyDescent="0.25">
      <c r="A31" s="3" t="s">
        <v>129</v>
      </c>
      <c r="B31" t="s">
        <v>63</v>
      </c>
      <c r="C31" t="s">
        <v>254</v>
      </c>
      <c r="D31" t="s">
        <v>255</v>
      </c>
      <c r="H31">
        <v>96</v>
      </c>
      <c r="I31">
        <v>48</v>
      </c>
      <c r="J31">
        <f t="shared" si="0"/>
        <v>2</v>
      </c>
    </row>
    <row r="32" spans="1:10" x14ac:dyDescent="0.25">
      <c r="A32" s="3" t="s">
        <v>130</v>
      </c>
      <c r="B32" t="s">
        <v>63</v>
      </c>
      <c r="C32" t="s">
        <v>254</v>
      </c>
      <c r="D32" t="s">
        <v>255</v>
      </c>
      <c r="H32">
        <v>96</v>
      </c>
      <c r="I32">
        <v>48</v>
      </c>
      <c r="J32">
        <f t="shared" si="0"/>
        <v>2</v>
      </c>
    </row>
    <row r="33" spans="1:10" x14ac:dyDescent="0.25">
      <c r="A33" s="3" t="s">
        <v>131</v>
      </c>
      <c r="B33" t="s">
        <v>63</v>
      </c>
      <c r="C33" t="s">
        <v>254</v>
      </c>
      <c r="D33" t="s">
        <v>255</v>
      </c>
      <c r="H33">
        <v>96</v>
      </c>
      <c r="I33">
        <v>96</v>
      </c>
      <c r="J33">
        <f t="shared" si="0"/>
        <v>1</v>
      </c>
    </row>
    <row r="34" spans="1:10" x14ac:dyDescent="0.25">
      <c r="A34" s="3" t="s">
        <v>132</v>
      </c>
      <c r="E34" t="s">
        <v>65</v>
      </c>
      <c r="F34" t="s">
        <v>256</v>
      </c>
      <c r="G34" t="s">
        <v>257</v>
      </c>
      <c r="H34">
        <v>384</v>
      </c>
      <c r="I34">
        <v>96</v>
      </c>
      <c r="J34">
        <f t="shared" si="0"/>
        <v>4</v>
      </c>
    </row>
    <row r="35" spans="1:10" x14ac:dyDescent="0.25">
      <c r="A35" s="3" t="s">
        <v>133</v>
      </c>
      <c r="E35" t="s">
        <v>65</v>
      </c>
      <c r="F35" t="s">
        <v>256</v>
      </c>
      <c r="G35" t="s">
        <v>257</v>
      </c>
      <c r="H35">
        <v>384</v>
      </c>
      <c r="I35">
        <v>48</v>
      </c>
      <c r="J35">
        <f t="shared" si="0"/>
        <v>8</v>
      </c>
    </row>
    <row r="36" spans="1:10" x14ac:dyDescent="0.25">
      <c r="A36" s="3" t="s">
        <v>134</v>
      </c>
      <c r="E36" t="s">
        <v>65</v>
      </c>
      <c r="F36" t="s">
        <v>256</v>
      </c>
      <c r="G36" t="s">
        <v>257</v>
      </c>
      <c r="H36">
        <v>384</v>
      </c>
      <c r="I36">
        <v>12</v>
      </c>
      <c r="J36">
        <f t="shared" si="0"/>
        <v>32</v>
      </c>
    </row>
    <row r="37" spans="1:10" x14ac:dyDescent="0.25">
      <c r="A37" s="3" t="s">
        <v>135</v>
      </c>
      <c r="E37" t="s">
        <v>65</v>
      </c>
      <c r="F37" t="s">
        <v>256</v>
      </c>
      <c r="G37" t="s">
        <v>257</v>
      </c>
      <c r="H37">
        <v>384</v>
      </c>
      <c r="I37">
        <v>24</v>
      </c>
      <c r="J37">
        <f t="shared" si="0"/>
        <v>16</v>
      </c>
    </row>
    <row r="38" spans="1:10" x14ac:dyDescent="0.25">
      <c r="A38" s="3" t="s">
        <v>136</v>
      </c>
      <c r="E38" t="s">
        <v>65</v>
      </c>
      <c r="F38" t="s">
        <v>256</v>
      </c>
      <c r="G38" t="s">
        <v>257</v>
      </c>
      <c r="H38">
        <v>384</v>
      </c>
      <c r="I38">
        <v>24</v>
      </c>
      <c r="J38">
        <f t="shared" si="0"/>
        <v>16</v>
      </c>
    </row>
    <row r="39" spans="1:10" x14ac:dyDescent="0.25">
      <c r="A39" s="3" t="s">
        <v>137</v>
      </c>
      <c r="E39" t="s">
        <v>65</v>
      </c>
      <c r="F39" t="s">
        <v>256</v>
      </c>
      <c r="G39" t="s">
        <v>257</v>
      </c>
      <c r="H39">
        <v>384</v>
      </c>
      <c r="I39">
        <v>12</v>
      </c>
      <c r="J39">
        <f t="shared" si="0"/>
        <v>32</v>
      </c>
    </row>
    <row r="40" spans="1:10" x14ac:dyDescent="0.25">
      <c r="A40" s="3" t="s">
        <v>138</v>
      </c>
      <c r="E40" t="s">
        <v>65</v>
      </c>
      <c r="F40" t="s">
        <v>256</v>
      </c>
      <c r="G40" t="s">
        <v>257</v>
      </c>
      <c r="H40">
        <v>384</v>
      </c>
      <c r="I40">
        <v>12</v>
      </c>
      <c r="J40">
        <f t="shared" si="0"/>
        <v>32</v>
      </c>
    </row>
    <row r="41" spans="1:10" x14ac:dyDescent="0.25">
      <c r="A41" s="3" t="s">
        <v>139</v>
      </c>
      <c r="E41" t="s">
        <v>65</v>
      </c>
      <c r="F41" t="s">
        <v>256</v>
      </c>
      <c r="G41" t="s">
        <v>257</v>
      </c>
      <c r="H41">
        <v>384</v>
      </c>
      <c r="I41">
        <v>12</v>
      </c>
      <c r="J41">
        <f t="shared" si="0"/>
        <v>32</v>
      </c>
    </row>
    <row r="42" spans="1:10" x14ac:dyDescent="0.25">
      <c r="A42" s="3" t="s">
        <v>140</v>
      </c>
      <c r="E42" t="s">
        <v>65</v>
      </c>
      <c r="F42" t="s">
        <v>256</v>
      </c>
      <c r="G42" t="s">
        <v>257</v>
      </c>
      <c r="H42">
        <v>384</v>
      </c>
      <c r="I42">
        <v>48</v>
      </c>
      <c r="J42">
        <f t="shared" si="0"/>
        <v>8</v>
      </c>
    </row>
    <row r="43" spans="1:10" x14ac:dyDescent="0.25">
      <c r="A43" s="3" t="s">
        <v>302</v>
      </c>
      <c r="E43" t="s">
        <v>65</v>
      </c>
      <c r="F43" t="s">
        <v>256</v>
      </c>
      <c r="G43" t="s">
        <v>257</v>
      </c>
      <c r="H43">
        <v>384</v>
      </c>
      <c r="I43">
        <v>48</v>
      </c>
      <c r="J43">
        <f t="shared" si="0"/>
        <v>8</v>
      </c>
    </row>
    <row r="44" spans="1:10" x14ac:dyDescent="0.25">
      <c r="A44" s="3" t="s">
        <v>141</v>
      </c>
      <c r="E44" t="s">
        <v>65</v>
      </c>
      <c r="F44" t="s">
        <v>256</v>
      </c>
      <c r="G44" t="s">
        <v>257</v>
      </c>
      <c r="H44">
        <v>384</v>
      </c>
      <c r="I44">
        <v>96</v>
      </c>
      <c r="J44">
        <f t="shared" si="0"/>
        <v>4</v>
      </c>
    </row>
    <row r="45" spans="1:10" x14ac:dyDescent="0.25">
      <c r="A45" s="3" t="s">
        <v>142</v>
      </c>
      <c r="E45" t="s">
        <v>65</v>
      </c>
      <c r="F45" t="s">
        <v>256</v>
      </c>
      <c r="G45" t="s">
        <v>257</v>
      </c>
      <c r="H45">
        <v>384</v>
      </c>
      <c r="I45">
        <v>12</v>
      </c>
      <c r="J45">
        <f t="shared" si="0"/>
        <v>32</v>
      </c>
    </row>
    <row r="46" spans="1:10" x14ac:dyDescent="0.25">
      <c r="A46" s="3" t="s">
        <v>143</v>
      </c>
      <c r="E46" t="s">
        <v>65</v>
      </c>
      <c r="F46" t="s">
        <v>256</v>
      </c>
      <c r="G46" t="s">
        <v>257</v>
      </c>
      <c r="H46">
        <v>384</v>
      </c>
      <c r="I46">
        <v>96</v>
      </c>
      <c r="J46">
        <f t="shared" si="0"/>
        <v>4</v>
      </c>
    </row>
    <row r="47" spans="1:10" x14ac:dyDescent="0.25">
      <c r="A47" s="3" t="s">
        <v>144</v>
      </c>
      <c r="E47" t="s">
        <v>65</v>
      </c>
      <c r="F47" t="s">
        <v>256</v>
      </c>
      <c r="G47" t="s">
        <v>257</v>
      </c>
      <c r="H47">
        <v>384</v>
      </c>
      <c r="I47">
        <v>48</v>
      </c>
      <c r="J47">
        <f t="shared" si="0"/>
        <v>8</v>
      </c>
    </row>
    <row r="48" spans="1:10" x14ac:dyDescent="0.25">
      <c r="A48" s="3" t="s">
        <v>145</v>
      </c>
      <c r="E48" t="s">
        <v>65</v>
      </c>
      <c r="F48" t="s">
        <v>256</v>
      </c>
      <c r="G48" t="s">
        <v>257</v>
      </c>
      <c r="H48">
        <v>384</v>
      </c>
      <c r="I48">
        <v>48</v>
      </c>
      <c r="J48">
        <f t="shared" si="0"/>
        <v>8</v>
      </c>
    </row>
    <row r="49" spans="1:10" x14ac:dyDescent="0.25">
      <c r="A49" s="3" t="s">
        <v>146</v>
      </c>
      <c r="E49" t="s">
        <v>65</v>
      </c>
      <c r="F49" t="s">
        <v>256</v>
      </c>
      <c r="G49" t="s">
        <v>257</v>
      </c>
      <c r="H49">
        <v>384</v>
      </c>
      <c r="I49">
        <v>96</v>
      </c>
      <c r="J49">
        <f t="shared" si="0"/>
        <v>4</v>
      </c>
    </row>
    <row r="50" spans="1:10" x14ac:dyDescent="0.25">
      <c r="A50" s="3" t="s">
        <v>147</v>
      </c>
      <c r="E50" t="s">
        <v>65</v>
      </c>
      <c r="F50" t="s">
        <v>256</v>
      </c>
      <c r="G50" t="s">
        <v>257</v>
      </c>
      <c r="H50">
        <v>384</v>
      </c>
      <c r="I50">
        <v>96</v>
      </c>
      <c r="J50">
        <f t="shared" si="0"/>
        <v>4</v>
      </c>
    </row>
    <row r="51" spans="1:10" x14ac:dyDescent="0.25">
      <c r="A51" s="3" t="s">
        <v>148</v>
      </c>
      <c r="E51" t="s">
        <v>65</v>
      </c>
      <c r="F51" t="s">
        <v>256</v>
      </c>
      <c r="G51" t="s">
        <v>257</v>
      </c>
      <c r="H51">
        <v>384</v>
      </c>
      <c r="I51">
        <v>48</v>
      </c>
      <c r="J51">
        <f t="shared" si="0"/>
        <v>8</v>
      </c>
    </row>
    <row r="52" spans="1:10" x14ac:dyDescent="0.25">
      <c r="A52" s="3" t="s">
        <v>149</v>
      </c>
      <c r="E52" t="s">
        <v>65</v>
      </c>
      <c r="F52" t="s">
        <v>256</v>
      </c>
      <c r="G52" t="s">
        <v>257</v>
      </c>
      <c r="H52">
        <v>384</v>
      </c>
      <c r="I52">
        <v>12</v>
      </c>
      <c r="J52">
        <f t="shared" si="0"/>
        <v>32</v>
      </c>
    </row>
    <row r="53" spans="1:10" x14ac:dyDescent="0.25">
      <c r="A53" s="3" t="s">
        <v>150</v>
      </c>
      <c r="E53" t="s">
        <v>65</v>
      </c>
      <c r="F53" t="s">
        <v>256</v>
      </c>
      <c r="G53" t="s">
        <v>257</v>
      </c>
      <c r="H53">
        <v>384</v>
      </c>
      <c r="I53">
        <v>24</v>
      </c>
      <c r="J53">
        <f t="shared" si="0"/>
        <v>16</v>
      </c>
    </row>
    <row r="54" spans="1:10" x14ac:dyDescent="0.25">
      <c r="A54" s="3" t="s">
        <v>151</v>
      </c>
      <c r="E54" t="s">
        <v>65</v>
      </c>
      <c r="F54" t="s">
        <v>256</v>
      </c>
      <c r="G54" t="s">
        <v>257</v>
      </c>
      <c r="H54">
        <v>384</v>
      </c>
      <c r="I54">
        <v>24</v>
      </c>
      <c r="J54">
        <f t="shared" si="0"/>
        <v>16</v>
      </c>
    </row>
    <row r="55" spans="1:10" x14ac:dyDescent="0.25">
      <c r="A55" s="3" t="s">
        <v>152</v>
      </c>
      <c r="E55" t="s">
        <v>65</v>
      </c>
      <c r="F55" t="s">
        <v>256</v>
      </c>
      <c r="G55" t="s">
        <v>257</v>
      </c>
      <c r="H55">
        <v>384</v>
      </c>
      <c r="I55">
        <v>12</v>
      </c>
      <c r="J55">
        <f t="shared" si="0"/>
        <v>32</v>
      </c>
    </row>
    <row r="56" spans="1:10" x14ac:dyDescent="0.25">
      <c r="A56" s="3" t="s">
        <v>153</v>
      </c>
      <c r="E56" t="s">
        <v>65</v>
      </c>
      <c r="F56" t="s">
        <v>256</v>
      </c>
      <c r="G56" t="s">
        <v>257</v>
      </c>
      <c r="H56">
        <v>384</v>
      </c>
      <c r="I56">
        <v>12</v>
      </c>
      <c r="J56">
        <f t="shared" si="0"/>
        <v>32</v>
      </c>
    </row>
    <row r="57" spans="1:10" x14ac:dyDescent="0.25">
      <c r="A57" s="3" t="s">
        <v>154</v>
      </c>
      <c r="E57" t="s">
        <v>65</v>
      </c>
      <c r="F57" t="s">
        <v>256</v>
      </c>
      <c r="G57" t="s">
        <v>257</v>
      </c>
      <c r="H57">
        <v>384</v>
      </c>
      <c r="I57">
        <v>12</v>
      </c>
      <c r="J57">
        <f t="shared" si="0"/>
        <v>32</v>
      </c>
    </row>
    <row r="58" spans="1:10" x14ac:dyDescent="0.25">
      <c r="A58" s="3" t="s">
        <v>155</v>
      </c>
      <c r="E58" t="s">
        <v>65</v>
      </c>
      <c r="F58" t="s">
        <v>256</v>
      </c>
      <c r="G58" t="s">
        <v>257</v>
      </c>
      <c r="H58">
        <v>384</v>
      </c>
      <c r="I58">
        <v>48</v>
      </c>
      <c r="J58">
        <f t="shared" si="0"/>
        <v>8</v>
      </c>
    </row>
    <row r="59" spans="1:10" x14ac:dyDescent="0.25">
      <c r="A59" s="3" t="s">
        <v>303</v>
      </c>
      <c r="E59" t="s">
        <v>65</v>
      </c>
      <c r="F59" t="s">
        <v>256</v>
      </c>
      <c r="G59" t="s">
        <v>257</v>
      </c>
      <c r="H59">
        <v>384</v>
      </c>
      <c r="I59">
        <v>48</v>
      </c>
      <c r="J59">
        <f t="shared" si="0"/>
        <v>8</v>
      </c>
    </row>
    <row r="60" spans="1:10" x14ac:dyDescent="0.25">
      <c r="A60" s="3" t="s">
        <v>156</v>
      </c>
      <c r="E60" t="s">
        <v>65</v>
      </c>
      <c r="F60" t="s">
        <v>256</v>
      </c>
      <c r="G60" t="s">
        <v>257</v>
      </c>
      <c r="H60">
        <v>384</v>
      </c>
      <c r="I60">
        <v>96</v>
      </c>
      <c r="J60">
        <f t="shared" si="0"/>
        <v>4</v>
      </c>
    </row>
    <row r="61" spans="1:10" x14ac:dyDescent="0.25">
      <c r="A61" s="3" t="s">
        <v>157</v>
      </c>
      <c r="E61" t="s">
        <v>65</v>
      </c>
      <c r="F61" t="s">
        <v>256</v>
      </c>
      <c r="G61" t="s">
        <v>257</v>
      </c>
      <c r="H61">
        <v>384</v>
      </c>
      <c r="I61">
        <v>12</v>
      </c>
      <c r="J61">
        <f t="shared" si="0"/>
        <v>32</v>
      </c>
    </row>
    <row r="62" spans="1:10" x14ac:dyDescent="0.25">
      <c r="A62" s="3" t="s">
        <v>158</v>
      </c>
      <c r="E62" t="s">
        <v>65</v>
      </c>
      <c r="F62" t="s">
        <v>256</v>
      </c>
      <c r="G62" t="s">
        <v>257</v>
      </c>
      <c r="H62">
        <v>384</v>
      </c>
      <c r="I62">
        <v>96</v>
      </c>
      <c r="J62">
        <f t="shared" si="0"/>
        <v>4</v>
      </c>
    </row>
    <row r="63" spans="1:10" x14ac:dyDescent="0.25">
      <c r="A63" s="3" t="s">
        <v>159</v>
      </c>
      <c r="E63" t="s">
        <v>65</v>
      </c>
      <c r="F63" t="s">
        <v>256</v>
      </c>
      <c r="G63" t="s">
        <v>257</v>
      </c>
      <c r="H63">
        <v>384</v>
      </c>
      <c r="I63">
        <v>48</v>
      </c>
      <c r="J63">
        <f t="shared" si="0"/>
        <v>8</v>
      </c>
    </row>
    <row r="64" spans="1:10" x14ac:dyDescent="0.25">
      <c r="A64" s="3" t="s">
        <v>160</v>
      </c>
      <c r="E64" t="s">
        <v>65</v>
      </c>
      <c r="F64" t="s">
        <v>256</v>
      </c>
      <c r="G64" t="s">
        <v>257</v>
      </c>
      <c r="H64">
        <v>384</v>
      </c>
      <c r="I64">
        <v>48</v>
      </c>
      <c r="J64">
        <f t="shared" si="0"/>
        <v>8</v>
      </c>
    </row>
    <row r="65" spans="1:10" x14ac:dyDescent="0.25">
      <c r="A65" s="3" t="s">
        <v>161</v>
      </c>
      <c r="E65" t="s">
        <v>65</v>
      </c>
      <c r="F65" t="s">
        <v>256</v>
      </c>
      <c r="G65" t="s">
        <v>257</v>
      </c>
      <c r="H65">
        <v>384</v>
      </c>
      <c r="I65">
        <v>96</v>
      </c>
      <c r="J65">
        <f t="shared" si="0"/>
        <v>4</v>
      </c>
    </row>
    <row r="66" spans="1:10" x14ac:dyDescent="0.25">
      <c r="A66" s="3" t="s">
        <v>162</v>
      </c>
      <c r="B66" t="s">
        <v>64</v>
      </c>
      <c r="C66" t="s">
        <v>258</v>
      </c>
      <c r="D66" t="s">
        <v>259</v>
      </c>
      <c r="H66">
        <v>96</v>
      </c>
      <c r="I66">
        <v>96</v>
      </c>
      <c r="J66">
        <f t="shared" si="0"/>
        <v>1</v>
      </c>
    </row>
    <row r="67" spans="1:10" x14ac:dyDescent="0.25">
      <c r="A67" s="3" t="s">
        <v>163</v>
      </c>
      <c r="B67" t="s">
        <v>64</v>
      </c>
      <c r="C67" t="s">
        <v>258</v>
      </c>
      <c r="D67" t="s">
        <v>259</v>
      </c>
      <c r="H67">
        <v>96</v>
      </c>
      <c r="I67">
        <v>48</v>
      </c>
      <c r="J67">
        <f t="shared" ref="J67:J130" si="1">H67/I67</f>
        <v>2</v>
      </c>
    </row>
    <row r="68" spans="1:10" x14ac:dyDescent="0.25">
      <c r="A68" s="3" t="s">
        <v>164</v>
      </c>
      <c r="B68" t="s">
        <v>64</v>
      </c>
      <c r="C68" t="s">
        <v>258</v>
      </c>
      <c r="D68" t="s">
        <v>259</v>
      </c>
      <c r="H68">
        <v>96</v>
      </c>
      <c r="I68">
        <v>12</v>
      </c>
      <c r="J68">
        <f t="shared" si="1"/>
        <v>8</v>
      </c>
    </row>
    <row r="69" spans="1:10" x14ac:dyDescent="0.25">
      <c r="A69" s="3" t="s">
        <v>165</v>
      </c>
      <c r="B69" t="s">
        <v>64</v>
      </c>
      <c r="C69" t="s">
        <v>258</v>
      </c>
      <c r="D69" t="s">
        <v>259</v>
      </c>
      <c r="H69">
        <v>96</v>
      </c>
      <c r="I69">
        <v>24</v>
      </c>
      <c r="J69">
        <f t="shared" si="1"/>
        <v>4</v>
      </c>
    </row>
    <row r="70" spans="1:10" x14ac:dyDescent="0.25">
      <c r="A70" s="3" t="s">
        <v>166</v>
      </c>
      <c r="B70" t="s">
        <v>64</v>
      </c>
      <c r="C70" t="s">
        <v>258</v>
      </c>
      <c r="D70" t="s">
        <v>259</v>
      </c>
      <c r="H70">
        <v>96</v>
      </c>
      <c r="I70">
        <v>24</v>
      </c>
      <c r="J70">
        <f t="shared" si="1"/>
        <v>4</v>
      </c>
    </row>
    <row r="71" spans="1:10" x14ac:dyDescent="0.25">
      <c r="A71" s="3" t="s">
        <v>167</v>
      </c>
      <c r="B71" t="s">
        <v>64</v>
      </c>
      <c r="C71" t="s">
        <v>258</v>
      </c>
      <c r="D71" t="s">
        <v>259</v>
      </c>
      <c r="H71">
        <v>96</v>
      </c>
      <c r="I71">
        <v>12</v>
      </c>
      <c r="J71">
        <f t="shared" si="1"/>
        <v>8</v>
      </c>
    </row>
    <row r="72" spans="1:10" x14ac:dyDescent="0.25">
      <c r="A72" s="3" t="s">
        <v>168</v>
      </c>
      <c r="B72" t="s">
        <v>64</v>
      </c>
      <c r="C72" t="s">
        <v>258</v>
      </c>
      <c r="D72" t="s">
        <v>259</v>
      </c>
      <c r="H72">
        <v>96</v>
      </c>
      <c r="I72">
        <v>12</v>
      </c>
      <c r="J72">
        <f t="shared" si="1"/>
        <v>8</v>
      </c>
    </row>
    <row r="73" spans="1:10" x14ac:dyDescent="0.25">
      <c r="A73" s="3" t="s">
        <v>169</v>
      </c>
      <c r="B73" t="s">
        <v>64</v>
      </c>
      <c r="C73" t="s">
        <v>258</v>
      </c>
      <c r="D73" t="s">
        <v>259</v>
      </c>
      <c r="H73">
        <v>96</v>
      </c>
      <c r="I73">
        <v>12</v>
      </c>
      <c r="J73">
        <f t="shared" si="1"/>
        <v>8</v>
      </c>
    </row>
    <row r="74" spans="1:10" x14ac:dyDescent="0.25">
      <c r="A74" s="3" t="s">
        <v>170</v>
      </c>
      <c r="B74" t="s">
        <v>64</v>
      </c>
      <c r="C74" t="s">
        <v>258</v>
      </c>
      <c r="D74" t="s">
        <v>259</v>
      </c>
      <c r="H74">
        <v>96</v>
      </c>
      <c r="I74">
        <v>48</v>
      </c>
      <c r="J74">
        <f t="shared" si="1"/>
        <v>2</v>
      </c>
    </row>
    <row r="75" spans="1:10" x14ac:dyDescent="0.25">
      <c r="A75" s="3" t="s">
        <v>304</v>
      </c>
      <c r="B75" t="s">
        <v>64</v>
      </c>
      <c r="C75" t="s">
        <v>258</v>
      </c>
      <c r="D75" t="s">
        <v>259</v>
      </c>
      <c r="H75">
        <v>96</v>
      </c>
      <c r="I75">
        <v>48</v>
      </c>
      <c r="J75">
        <f t="shared" si="1"/>
        <v>2</v>
      </c>
    </row>
    <row r="76" spans="1:10" x14ac:dyDescent="0.25">
      <c r="A76" s="3" t="s">
        <v>171</v>
      </c>
      <c r="B76" t="s">
        <v>64</v>
      </c>
      <c r="C76" t="s">
        <v>258</v>
      </c>
      <c r="D76" t="s">
        <v>259</v>
      </c>
      <c r="H76">
        <v>96</v>
      </c>
      <c r="I76">
        <v>96</v>
      </c>
      <c r="J76">
        <f t="shared" si="1"/>
        <v>1</v>
      </c>
    </row>
    <row r="77" spans="1:10" x14ac:dyDescent="0.25">
      <c r="A77" s="3" t="s">
        <v>172</v>
      </c>
      <c r="B77" t="s">
        <v>64</v>
      </c>
      <c r="C77" t="s">
        <v>258</v>
      </c>
      <c r="D77" t="s">
        <v>259</v>
      </c>
      <c r="H77">
        <v>96</v>
      </c>
      <c r="I77">
        <v>12</v>
      </c>
      <c r="J77">
        <f t="shared" si="1"/>
        <v>8</v>
      </c>
    </row>
    <row r="78" spans="1:10" x14ac:dyDescent="0.25">
      <c r="A78" s="3" t="s">
        <v>173</v>
      </c>
      <c r="B78" t="s">
        <v>64</v>
      </c>
      <c r="C78" t="s">
        <v>258</v>
      </c>
      <c r="D78" t="s">
        <v>259</v>
      </c>
      <c r="H78">
        <v>96</v>
      </c>
      <c r="I78">
        <v>96</v>
      </c>
      <c r="J78">
        <f t="shared" si="1"/>
        <v>1</v>
      </c>
    </row>
    <row r="79" spans="1:10" x14ac:dyDescent="0.25">
      <c r="A79" s="3" t="s">
        <v>174</v>
      </c>
      <c r="B79" t="s">
        <v>64</v>
      </c>
      <c r="C79" t="s">
        <v>258</v>
      </c>
      <c r="D79" t="s">
        <v>259</v>
      </c>
      <c r="H79">
        <v>96</v>
      </c>
      <c r="I79">
        <v>48</v>
      </c>
      <c r="J79">
        <f t="shared" si="1"/>
        <v>2</v>
      </c>
    </row>
    <row r="80" spans="1:10" x14ac:dyDescent="0.25">
      <c r="A80" s="3" t="s">
        <v>175</v>
      </c>
      <c r="B80" t="s">
        <v>64</v>
      </c>
      <c r="C80" t="s">
        <v>258</v>
      </c>
      <c r="D80" t="s">
        <v>259</v>
      </c>
      <c r="H80">
        <v>96</v>
      </c>
      <c r="I80">
        <v>48</v>
      </c>
      <c r="J80">
        <f t="shared" si="1"/>
        <v>2</v>
      </c>
    </row>
    <row r="81" spans="1:10" x14ac:dyDescent="0.25">
      <c r="A81" s="3" t="s">
        <v>176</v>
      </c>
      <c r="B81" t="s">
        <v>64</v>
      </c>
      <c r="C81" t="s">
        <v>258</v>
      </c>
      <c r="D81" t="s">
        <v>259</v>
      </c>
      <c r="H81">
        <v>96</v>
      </c>
      <c r="I81">
        <v>96</v>
      </c>
      <c r="J81">
        <f t="shared" si="1"/>
        <v>1</v>
      </c>
    </row>
    <row r="82" spans="1:10" x14ac:dyDescent="0.25">
      <c r="A82" s="3" t="s">
        <v>177</v>
      </c>
      <c r="B82" t="s">
        <v>62</v>
      </c>
      <c r="C82" t="s">
        <v>252</v>
      </c>
      <c r="D82" t="s">
        <v>253</v>
      </c>
      <c r="H82">
        <v>96</v>
      </c>
      <c r="I82">
        <v>96</v>
      </c>
      <c r="J82">
        <f t="shared" si="1"/>
        <v>1</v>
      </c>
    </row>
    <row r="83" spans="1:10" x14ac:dyDescent="0.25">
      <c r="A83" s="3" t="s">
        <v>178</v>
      </c>
      <c r="B83" t="s">
        <v>62</v>
      </c>
      <c r="C83" t="s">
        <v>252</v>
      </c>
      <c r="D83" t="s">
        <v>253</v>
      </c>
      <c r="H83">
        <v>96</v>
      </c>
      <c r="I83">
        <v>48</v>
      </c>
      <c r="J83">
        <f t="shared" si="1"/>
        <v>2</v>
      </c>
    </row>
    <row r="84" spans="1:10" x14ac:dyDescent="0.25">
      <c r="A84" s="3" t="s">
        <v>179</v>
      </c>
      <c r="B84" t="s">
        <v>62</v>
      </c>
      <c r="C84" t="s">
        <v>252</v>
      </c>
      <c r="D84" t="s">
        <v>253</v>
      </c>
      <c r="H84">
        <v>96</v>
      </c>
      <c r="I84">
        <v>12</v>
      </c>
      <c r="J84">
        <f t="shared" si="1"/>
        <v>8</v>
      </c>
    </row>
    <row r="85" spans="1:10" x14ac:dyDescent="0.25">
      <c r="A85" s="3" t="s">
        <v>180</v>
      </c>
      <c r="B85" t="s">
        <v>62</v>
      </c>
      <c r="C85" t="s">
        <v>252</v>
      </c>
      <c r="D85" t="s">
        <v>253</v>
      </c>
      <c r="H85">
        <v>96</v>
      </c>
      <c r="I85">
        <v>24</v>
      </c>
      <c r="J85">
        <f t="shared" si="1"/>
        <v>4</v>
      </c>
    </row>
    <row r="86" spans="1:10" x14ac:dyDescent="0.25">
      <c r="A86" s="3" t="s">
        <v>181</v>
      </c>
      <c r="B86" t="s">
        <v>62</v>
      </c>
      <c r="C86" t="s">
        <v>252</v>
      </c>
      <c r="D86" t="s">
        <v>253</v>
      </c>
      <c r="H86">
        <v>96</v>
      </c>
      <c r="I86">
        <v>24</v>
      </c>
      <c r="J86">
        <f t="shared" si="1"/>
        <v>4</v>
      </c>
    </row>
    <row r="87" spans="1:10" x14ac:dyDescent="0.25">
      <c r="A87" s="3" t="s">
        <v>182</v>
      </c>
      <c r="B87" t="s">
        <v>62</v>
      </c>
      <c r="C87" t="s">
        <v>252</v>
      </c>
      <c r="D87" t="s">
        <v>253</v>
      </c>
      <c r="H87">
        <v>96</v>
      </c>
      <c r="I87">
        <v>12</v>
      </c>
      <c r="J87">
        <f t="shared" si="1"/>
        <v>8</v>
      </c>
    </row>
    <row r="88" spans="1:10" x14ac:dyDescent="0.25">
      <c r="A88" s="3" t="s">
        <v>183</v>
      </c>
      <c r="B88" t="s">
        <v>62</v>
      </c>
      <c r="C88" t="s">
        <v>252</v>
      </c>
      <c r="D88" t="s">
        <v>253</v>
      </c>
      <c r="H88">
        <v>96</v>
      </c>
      <c r="I88">
        <v>12</v>
      </c>
      <c r="J88">
        <f t="shared" si="1"/>
        <v>8</v>
      </c>
    </row>
    <row r="89" spans="1:10" x14ac:dyDescent="0.25">
      <c r="A89" s="3" t="s">
        <v>184</v>
      </c>
      <c r="B89" t="s">
        <v>62</v>
      </c>
      <c r="C89" t="s">
        <v>252</v>
      </c>
      <c r="D89" t="s">
        <v>253</v>
      </c>
      <c r="H89">
        <v>96</v>
      </c>
      <c r="I89">
        <v>12</v>
      </c>
      <c r="J89">
        <f t="shared" si="1"/>
        <v>8</v>
      </c>
    </row>
    <row r="90" spans="1:10" x14ac:dyDescent="0.25">
      <c r="A90" s="3" t="s">
        <v>185</v>
      </c>
      <c r="B90" t="s">
        <v>62</v>
      </c>
      <c r="C90" t="s">
        <v>252</v>
      </c>
      <c r="D90" t="s">
        <v>253</v>
      </c>
      <c r="H90">
        <v>96</v>
      </c>
      <c r="I90">
        <v>48</v>
      </c>
      <c r="J90">
        <f t="shared" si="1"/>
        <v>2</v>
      </c>
    </row>
    <row r="91" spans="1:10" x14ac:dyDescent="0.25">
      <c r="A91" s="3" t="s">
        <v>305</v>
      </c>
      <c r="B91" t="s">
        <v>62</v>
      </c>
      <c r="C91" t="s">
        <v>252</v>
      </c>
      <c r="D91" t="s">
        <v>253</v>
      </c>
      <c r="H91">
        <v>96</v>
      </c>
      <c r="I91">
        <v>48</v>
      </c>
      <c r="J91">
        <f t="shared" si="1"/>
        <v>2</v>
      </c>
    </row>
    <row r="92" spans="1:10" x14ac:dyDescent="0.25">
      <c r="A92" s="3" t="s">
        <v>186</v>
      </c>
      <c r="B92" t="s">
        <v>62</v>
      </c>
      <c r="C92" t="s">
        <v>252</v>
      </c>
      <c r="D92" t="s">
        <v>253</v>
      </c>
      <c r="H92">
        <v>96</v>
      </c>
      <c r="I92">
        <v>96</v>
      </c>
      <c r="J92">
        <f t="shared" si="1"/>
        <v>1</v>
      </c>
    </row>
    <row r="93" spans="1:10" x14ac:dyDescent="0.25">
      <c r="A93" s="3" t="s">
        <v>187</v>
      </c>
      <c r="B93" t="s">
        <v>62</v>
      </c>
      <c r="C93" t="s">
        <v>252</v>
      </c>
      <c r="D93" t="s">
        <v>253</v>
      </c>
      <c r="H93">
        <v>96</v>
      </c>
      <c r="I93">
        <v>12</v>
      </c>
      <c r="J93">
        <f t="shared" si="1"/>
        <v>8</v>
      </c>
    </row>
    <row r="94" spans="1:10" x14ac:dyDescent="0.25">
      <c r="A94" s="3" t="s">
        <v>188</v>
      </c>
      <c r="B94" t="s">
        <v>62</v>
      </c>
      <c r="C94" t="s">
        <v>252</v>
      </c>
      <c r="D94" t="s">
        <v>253</v>
      </c>
      <c r="H94">
        <v>96</v>
      </c>
      <c r="I94">
        <v>96</v>
      </c>
      <c r="J94">
        <f t="shared" si="1"/>
        <v>1</v>
      </c>
    </row>
    <row r="95" spans="1:10" x14ac:dyDescent="0.25">
      <c r="A95" s="3" t="s">
        <v>189</v>
      </c>
      <c r="B95" t="s">
        <v>62</v>
      </c>
      <c r="C95" t="s">
        <v>252</v>
      </c>
      <c r="D95" t="s">
        <v>253</v>
      </c>
      <c r="H95">
        <v>96</v>
      </c>
      <c r="I95">
        <v>48</v>
      </c>
      <c r="J95">
        <f t="shared" si="1"/>
        <v>2</v>
      </c>
    </row>
    <row r="96" spans="1:10" x14ac:dyDescent="0.25">
      <c r="A96" s="3" t="s">
        <v>190</v>
      </c>
      <c r="B96" t="s">
        <v>62</v>
      </c>
      <c r="C96" t="s">
        <v>252</v>
      </c>
      <c r="D96" t="s">
        <v>253</v>
      </c>
      <c r="H96">
        <v>96</v>
      </c>
      <c r="I96">
        <v>48</v>
      </c>
      <c r="J96">
        <f t="shared" si="1"/>
        <v>2</v>
      </c>
    </row>
    <row r="97" spans="1:10" x14ac:dyDescent="0.25">
      <c r="A97" s="3" t="s">
        <v>191</v>
      </c>
      <c r="B97" t="s">
        <v>62</v>
      </c>
      <c r="C97" t="s">
        <v>252</v>
      </c>
      <c r="D97" t="s">
        <v>253</v>
      </c>
      <c r="H97">
        <v>96</v>
      </c>
      <c r="I97">
        <v>96</v>
      </c>
      <c r="J97">
        <f t="shared" si="1"/>
        <v>1</v>
      </c>
    </row>
    <row r="98" spans="1:10" x14ac:dyDescent="0.25">
      <c r="A98" s="3" t="s">
        <v>192</v>
      </c>
      <c r="B98" t="s">
        <v>61</v>
      </c>
      <c r="C98" t="s">
        <v>260</v>
      </c>
      <c r="D98" t="s">
        <v>261</v>
      </c>
      <c r="H98">
        <v>96</v>
      </c>
      <c r="I98">
        <v>96</v>
      </c>
      <c r="J98">
        <f t="shared" si="1"/>
        <v>1</v>
      </c>
    </row>
    <row r="99" spans="1:10" x14ac:dyDescent="0.25">
      <c r="A99" s="3" t="s">
        <v>193</v>
      </c>
      <c r="B99" t="s">
        <v>61</v>
      </c>
      <c r="C99" t="s">
        <v>260</v>
      </c>
      <c r="D99" t="s">
        <v>261</v>
      </c>
      <c r="H99">
        <v>96</v>
      </c>
      <c r="I99">
        <v>48</v>
      </c>
      <c r="J99">
        <f t="shared" si="1"/>
        <v>2</v>
      </c>
    </row>
    <row r="100" spans="1:10" x14ac:dyDescent="0.25">
      <c r="A100" s="3" t="s">
        <v>194</v>
      </c>
      <c r="B100" t="s">
        <v>61</v>
      </c>
      <c r="C100" t="s">
        <v>260</v>
      </c>
      <c r="D100" t="s">
        <v>261</v>
      </c>
      <c r="H100">
        <v>96</v>
      </c>
      <c r="I100">
        <v>12</v>
      </c>
      <c r="J100">
        <f t="shared" si="1"/>
        <v>8</v>
      </c>
    </row>
    <row r="101" spans="1:10" x14ac:dyDescent="0.25">
      <c r="A101" s="3" t="s">
        <v>195</v>
      </c>
      <c r="B101" t="s">
        <v>61</v>
      </c>
      <c r="C101" t="s">
        <v>260</v>
      </c>
      <c r="D101" t="s">
        <v>261</v>
      </c>
      <c r="H101">
        <v>96</v>
      </c>
      <c r="I101">
        <v>24</v>
      </c>
      <c r="J101">
        <f t="shared" si="1"/>
        <v>4</v>
      </c>
    </row>
    <row r="102" spans="1:10" x14ac:dyDescent="0.25">
      <c r="A102" s="3" t="s">
        <v>196</v>
      </c>
      <c r="B102" t="s">
        <v>61</v>
      </c>
      <c r="C102" t="s">
        <v>260</v>
      </c>
      <c r="D102" t="s">
        <v>261</v>
      </c>
      <c r="H102">
        <v>96</v>
      </c>
      <c r="I102">
        <v>24</v>
      </c>
      <c r="J102">
        <f t="shared" si="1"/>
        <v>4</v>
      </c>
    </row>
    <row r="103" spans="1:10" x14ac:dyDescent="0.25">
      <c r="A103" s="3" t="s">
        <v>197</v>
      </c>
      <c r="B103" t="s">
        <v>61</v>
      </c>
      <c r="C103" t="s">
        <v>260</v>
      </c>
      <c r="D103" t="s">
        <v>261</v>
      </c>
      <c r="H103">
        <v>96</v>
      </c>
      <c r="I103">
        <v>12</v>
      </c>
      <c r="J103">
        <f t="shared" si="1"/>
        <v>8</v>
      </c>
    </row>
    <row r="104" spans="1:10" x14ac:dyDescent="0.25">
      <c r="A104" s="3" t="s">
        <v>198</v>
      </c>
      <c r="B104" t="s">
        <v>61</v>
      </c>
      <c r="C104" t="s">
        <v>260</v>
      </c>
      <c r="D104" t="s">
        <v>261</v>
      </c>
      <c r="H104">
        <v>96</v>
      </c>
      <c r="I104">
        <v>12</v>
      </c>
      <c r="J104">
        <f t="shared" si="1"/>
        <v>8</v>
      </c>
    </row>
    <row r="105" spans="1:10" x14ac:dyDescent="0.25">
      <c r="A105" s="3" t="s">
        <v>199</v>
      </c>
      <c r="B105" t="s">
        <v>61</v>
      </c>
      <c r="C105" t="s">
        <v>260</v>
      </c>
      <c r="D105" t="s">
        <v>261</v>
      </c>
      <c r="H105">
        <v>96</v>
      </c>
      <c r="I105">
        <v>12</v>
      </c>
      <c r="J105">
        <f t="shared" si="1"/>
        <v>8</v>
      </c>
    </row>
    <row r="106" spans="1:10" x14ac:dyDescent="0.25">
      <c r="A106" s="3" t="s">
        <v>200</v>
      </c>
      <c r="B106" t="s">
        <v>61</v>
      </c>
      <c r="C106" t="s">
        <v>260</v>
      </c>
      <c r="D106" t="s">
        <v>261</v>
      </c>
      <c r="H106">
        <v>96</v>
      </c>
      <c r="I106">
        <v>48</v>
      </c>
      <c r="J106">
        <f t="shared" si="1"/>
        <v>2</v>
      </c>
    </row>
    <row r="107" spans="1:10" x14ac:dyDescent="0.25">
      <c r="A107" s="3" t="s">
        <v>306</v>
      </c>
      <c r="B107" t="s">
        <v>61</v>
      </c>
      <c r="C107" t="s">
        <v>260</v>
      </c>
      <c r="D107" t="s">
        <v>261</v>
      </c>
      <c r="H107">
        <v>96</v>
      </c>
      <c r="I107">
        <v>48</v>
      </c>
      <c r="J107">
        <f t="shared" si="1"/>
        <v>2</v>
      </c>
    </row>
    <row r="108" spans="1:10" x14ac:dyDescent="0.25">
      <c r="A108" s="3" t="s">
        <v>201</v>
      </c>
      <c r="B108" t="s">
        <v>61</v>
      </c>
      <c r="C108" t="s">
        <v>260</v>
      </c>
      <c r="D108" t="s">
        <v>261</v>
      </c>
      <c r="H108">
        <v>96</v>
      </c>
      <c r="I108">
        <v>96</v>
      </c>
      <c r="J108">
        <f t="shared" si="1"/>
        <v>1</v>
      </c>
    </row>
    <row r="109" spans="1:10" x14ac:dyDescent="0.25">
      <c r="A109" s="3" t="s">
        <v>202</v>
      </c>
      <c r="B109" t="s">
        <v>61</v>
      </c>
      <c r="C109" t="s">
        <v>260</v>
      </c>
      <c r="D109" t="s">
        <v>261</v>
      </c>
      <c r="H109">
        <v>96</v>
      </c>
      <c r="I109">
        <v>12</v>
      </c>
      <c r="J109">
        <f t="shared" si="1"/>
        <v>8</v>
      </c>
    </row>
    <row r="110" spans="1:10" x14ac:dyDescent="0.25">
      <c r="A110" s="3" t="s">
        <v>203</v>
      </c>
      <c r="B110" t="s">
        <v>61</v>
      </c>
      <c r="C110" t="s">
        <v>260</v>
      </c>
      <c r="D110" t="s">
        <v>261</v>
      </c>
      <c r="H110">
        <v>96</v>
      </c>
      <c r="I110">
        <v>96</v>
      </c>
      <c r="J110">
        <f t="shared" si="1"/>
        <v>1</v>
      </c>
    </row>
    <row r="111" spans="1:10" x14ac:dyDescent="0.25">
      <c r="A111" s="3" t="s">
        <v>204</v>
      </c>
      <c r="B111" t="s">
        <v>61</v>
      </c>
      <c r="C111" t="s">
        <v>260</v>
      </c>
      <c r="D111" t="s">
        <v>261</v>
      </c>
      <c r="H111">
        <v>96</v>
      </c>
      <c r="I111">
        <v>48</v>
      </c>
      <c r="J111">
        <f t="shared" si="1"/>
        <v>2</v>
      </c>
    </row>
    <row r="112" spans="1:10" x14ac:dyDescent="0.25">
      <c r="A112" s="3" t="s">
        <v>205</v>
      </c>
      <c r="B112" t="s">
        <v>61</v>
      </c>
      <c r="C112" t="s">
        <v>260</v>
      </c>
      <c r="D112" t="s">
        <v>261</v>
      </c>
      <c r="H112">
        <v>96</v>
      </c>
      <c r="I112">
        <v>48</v>
      </c>
      <c r="J112">
        <f t="shared" si="1"/>
        <v>2</v>
      </c>
    </row>
    <row r="113" spans="1:10" x14ac:dyDescent="0.25">
      <c r="A113" s="3" t="s">
        <v>206</v>
      </c>
      <c r="B113" t="s">
        <v>61</v>
      </c>
      <c r="C113" t="s">
        <v>260</v>
      </c>
      <c r="D113" t="s">
        <v>261</v>
      </c>
      <c r="H113">
        <v>96</v>
      </c>
      <c r="I113">
        <v>96</v>
      </c>
      <c r="J113">
        <f t="shared" si="1"/>
        <v>1</v>
      </c>
    </row>
    <row r="114" spans="1:10" x14ac:dyDescent="0.25">
      <c r="A114" s="3" t="s">
        <v>207</v>
      </c>
      <c r="E114" t="s">
        <v>67</v>
      </c>
      <c r="F114" t="s">
        <v>262</v>
      </c>
      <c r="G114" t="s">
        <v>263</v>
      </c>
      <c r="H114">
        <v>384</v>
      </c>
      <c r="I114">
        <v>96</v>
      </c>
      <c r="J114">
        <f t="shared" si="1"/>
        <v>4</v>
      </c>
    </row>
    <row r="115" spans="1:10" x14ac:dyDescent="0.25">
      <c r="A115" s="3" t="s">
        <v>208</v>
      </c>
      <c r="E115" t="s">
        <v>67</v>
      </c>
      <c r="F115" t="s">
        <v>262</v>
      </c>
      <c r="G115" t="s">
        <v>263</v>
      </c>
      <c r="H115">
        <v>384</v>
      </c>
      <c r="I115">
        <v>48</v>
      </c>
      <c r="J115">
        <f t="shared" si="1"/>
        <v>8</v>
      </c>
    </row>
    <row r="116" spans="1:10" x14ac:dyDescent="0.25">
      <c r="A116" s="3" t="s">
        <v>209</v>
      </c>
      <c r="E116" t="s">
        <v>67</v>
      </c>
      <c r="F116" t="s">
        <v>262</v>
      </c>
      <c r="G116" t="s">
        <v>263</v>
      </c>
      <c r="H116">
        <v>384</v>
      </c>
      <c r="I116">
        <v>12</v>
      </c>
      <c r="J116">
        <f t="shared" si="1"/>
        <v>32</v>
      </c>
    </row>
    <row r="117" spans="1:10" x14ac:dyDescent="0.25">
      <c r="A117" s="3" t="s">
        <v>210</v>
      </c>
      <c r="E117" t="s">
        <v>67</v>
      </c>
      <c r="F117" t="s">
        <v>262</v>
      </c>
      <c r="G117" t="s">
        <v>263</v>
      </c>
      <c r="H117">
        <v>384</v>
      </c>
      <c r="I117">
        <v>24</v>
      </c>
      <c r="J117">
        <f t="shared" si="1"/>
        <v>16</v>
      </c>
    </row>
    <row r="118" spans="1:10" x14ac:dyDescent="0.25">
      <c r="A118" s="3" t="s">
        <v>211</v>
      </c>
      <c r="E118" t="s">
        <v>67</v>
      </c>
      <c r="F118" t="s">
        <v>262</v>
      </c>
      <c r="G118" t="s">
        <v>263</v>
      </c>
      <c r="H118">
        <v>384</v>
      </c>
      <c r="I118">
        <v>24</v>
      </c>
      <c r="J118">
        <f t="shared" si="1"/>
        <v>16</v>
      </c>
    </row>
    <row r="119" spans="1:10" x14ac:dyDescent="0.25">
      <c r="A119" s="3" t="s">
        <v>212</v>
      </c>
      <c r="E119" t="s">
        <v>67</v>
      </c>
      <c r="F119" t="s">
        <v>262</v>
      </c>
      <c r="G119" t="s">
        <v>263</v>
      </c>
      <c r="H119">
        <v>384</v>
      </c>
      <c r="I119">
        <v>12</v>
      </c>
      <c r="J119">
        <f t="shared" si="1"/>
        <v>32</v>
      </c>
    </row>
    <row r="120" spans="1:10" x14ac:dyDescent="0.25">
      <c r="A120" s="3" t="s">
        <v>213</v>
      </c>
      <c r="E120" t="s">
        <v>67</v>
      </c>
      <c r="F120" t="s">
        <v>262</v>
      </c>
      <c r="G120" t="s">
        <v>263</v>
      </c>
      <c r="H120">
        <v>384</v>
      </c>
      <c r="I120">
        <v>12</v>
      </c>
      <c r="J120">
        <f t="shared" si="1"/>
        <v>32</v>
      </c>
    </row>
    <row r="121" spans="1:10" x14ac:dyDescent="0.25">
      <c r="A121" s="3" t="s">
        <v>214</v>
      </c>
      <c r="E121" t="s">
        <v>67</v>
      </c>
      <c r="F121" t="s">
        <v>262</v>
      </c>
      <c r="G121" t="s">
        <v>263</v>
      </c>
      <c r="H121">
        <v>384</v>
      </c>
      <c r="I121">
        <v>12</v>
      </c>
      <c r="J121">
        <f t="shared" si="1"/>
        <v>32</v>
      </c>
    </row>
    <row r="122" spans="1:10" x14ac:dyDescent="0.25">
      <c r="A122" s="3" t="s">
        <v>215</v>
      </c>
      <c r="E122" t="s">
        <v>67</v>
      </c>
      <c r="F122" t="s">
        <v>262</v>
      </c>
      <c r="G122" t="s">
        <v>263</v>
      </c>
      <c r="H122">
        <v>384</v>
      </c>
      <c r="I122">
        <v>48</v>
      </c>
      <c r="J122">
        <f t="shared" si="1"/>
        <v>8</v>
      </c>
    </row>
    <row r="123" spans="1:10" x14ac:dyDescent="0.25">
      <c r="A123" s="3" t="s">
        <v>307</v>
      </c>
      <c r="E123" t="s">
        <v>67</v>
      </c>
      <c r="F123" t="s">
        <v>262</v>
      </c>
      <c r="G123" t="s">
        <v>263</v>
      </c>
      <c r="H123">
        <v>384</v>
      </c>
      <c r="I123">
        <v>48</v>
      </c>
      <c r="J123">
        <f t="shared" si="1"/>
        <v>8</v>
      </c>
    </row>
    <row r="124" spans="1:10" x14ac:dyDescent="0.25">
      <c r="A124" s="3" t="s">
        <v>216</v>
      </c>
      <c r="E124" t="s">
        <v>67</v>
      </c>
      <c r="F124" t="s">
        <v>262</v>
      </c>
      <c r="G124" t="s">
        <v>263</v>
      </c>
      <c r="H124">
        <v>384</v>
      </c>
      <c r="I124">
        <v>96</v>
      </c>
      <c r="J124">
        <f t="shared" si="1"/>
        <v>4</v>
      </c>
    </row>
    <row r="125" spans="1:10" x14ac:dyDescent="0.25">
      <c r="A125" s="3" t="s">
        <v>217</v>
      </c>
      <c r="E125" t="s">
        <v>67</v>
      </c>
      <c r="F125" t="s">
        <v>262</v>
      </c>
      <c r="G125" t="s">
        <v>263</v>
      </c>
      <c r="H125">
        <v>384</v>
      </c>
      <c r="I125">
        <v>12</v>
      </c>
      <c r="J125">
        <f t="shared" si="1"/>
        <v>32</v>
      </c>
    </row>
    <row r="126" spans="1:10" x14ac:dyDescent="0.25">
      <c r="A126" s="3" t="s">
        <v>218</v>
      </c>
      <c r="E126" t="s">
        <v>67</v>
      </c>
      <c r="F126" t="s">
        <v>262</v>
      </c>
      <c r="G126" t="s">
        <v>263</v>
      </c>
      <c r="H126">
        <v>384</v>
      </c>
      <c r="I126">
        <v>96</v>
      </c>
      <c r="J126">
        <f t="shared" si="1"/>
        <v>4</v>
      </c>
    </row>
    <row r="127" spans="1:10" x14ac:dyDescent="0.25">
      <c r="A127" s="3" t="s">
        <v>219</v>
      </c>
      <c r="E127" t="s">
        <v>67</v>
      </c>
      <c r="F127" t="s">
        <v>262</v>
      </c>
      <c r="G127" t="s">
        <v>263</v>
      </c>
      <c r="H127">
        <v>384</v>
      </c>
      <c r="I127">
        <v>48</v>
      </c>
      <c r="J127">
        <f t="shared" si="1"/>
        <v>8</v>
      </c>
    </row>
    <row r="128" spans="1:10" x14ac:dyDescent="0.25">
      <c r="A128" s="3" t="s">
        <v>220</v>
      </c>
      <c r="E128" t="s">
        <v>67</v>
      </c>
      <c r="F128" t="s">
        <v>262</v>
      </c>
      <c r="G128" t="s">
        <v>263</v>
      </c>
      <c r="H128">
        <v>384</v>
      </c>
      <c r="I128">
        <v>48</v>
      </c>
      <c r="J128">
        <f t="shared" si="1"/>
        <v>8</v>
      </c>
    </row>
    <row r="129" spans="1:10" x14ac:dyDescent="0.25">
      <c r="A129" s="3" t="s">
        <v>221</v>
      </c>
      <c r="E129" t="s">
        <v>67</v>
      </c>
      <c r="F129" t="s">
        <v>262</v>
      </c>
      <c r="G129" t="s">
        <v>263</v>
      </c>
      <c r="H129">
        <v>384</v>
      </c>
      <c r="I129">
        <v>96</v>
      </c>
      <c r="J129">
        <f t="shared" si="1"/>
        <v>4</v>
      </c>
    </row>
    <row r="130" spans="1:10" x14ac:dyDescent="0.25">
      <c r="A130" s="3" t="s">
        <v>222</v>
      </c>
      <c r="B130" t="s">
        <v>66</v>
      </c>
      <c r="C130" t="s">
        <v>264</v>
      </c>
      <c r="D130" t="s">
        <v>265</v>
      </c>
      <c r="H130">
        <v>96</v>
      </c>
      <c r="I130">
        <v>96</v>
      </c>
      <c r="J130">
        <f t="shared" si="1"/>
        <v>1</v>
      </c>
    </row>
    <row r="131" spans="1:10" x14ac:dyDescent="0.25">
      <c r="A131" s="3" t="s">
        <v>223</v>
      </c>
      <c r="B131" t="s">
        <v>66</v>
      </c>
      <c r="C131" t="s">
        <v>264</v>
      </c>
      <c r="D131" t="s">
        <v>265</v>
      </c>
      <c r="H131">
        <v>96</v>
      </c>
      <c r="I131">
        <v>48</v>
      </c>
      <c r="J131">
        <f t="shared" ref="J131:J161" si="2">H131/I131</f>
        <v>2</v>
      </c>
    </row>
    <row r="132" spans="1:10" x14ac:dyDescent="0.25">
      <c r="A132" s="3" t="s">
        <v>224</v>
      </c>
      <c r="B132" t="s">
        <v>66</v>
      </c>
      <c r="C132" t="s">
        <v>264</v>
      </c>
      <c r="D132" t="s">
        <v>265</v>
      </c>
      <c r="H132">
        <v>96</v>
      </c>
      <c r="I132">
        <v>12</v>
      </c>
      <c r="J132">
        <f t="shared" si="2"/>
        <v>8</v>
      </c>
    </row>
    <row r="133" spans="1:10" x14ac:dyDescent="0.25">
      <c r="A133" s="3" t="s">
        <v>225</v>
      </c>
      <c r="B133" t="s">
        <v>66</v>
      </c>
      <c r="C133" t="s">
        <v>264</v>
      </c>
      <c r="D133" t="s">
        <v>265</v>
      </c>
      <c r="H133">
        <v>96</v>
      </c>
      <c r="I133">
        <v>24</v>
      </c>
      <c r="J133">
        <f t="shared" si="2"/>
        <v>4</v>
      </c>
    </row>
    <row r="134" spans="1:10" x14ac:dyDescent="0.25">
      <c r="A134" s="3" t="s">
        <v>226</v>
      </c>
      <c r="B134" t="s">
        <v>66</v>
      </c>
      <c r="C134" t="s">
        <v>264</v>
      </c>
      <c r="D134" t="s">
        <v>265</v>
      </c>
      <c r="H134">
        <v>96</v>
      </c>
      <c r="I134">
        <v>24</v>
      </c>
      <c r="J134">
        <f t="shared" si="2"/>
        <v>4</v>
      </c>
    </row>
    <row r="135" spans="1:10" x14ac:dyDescent="0.25">
      <c r="A135" s="3" t="s">
        <v>227</v>
      </c>
      <c r="B135" t="s">
        <v>66</v>
      </c>
      <c r="C135" t="s">
        <v>264</v>
      </c>
      <c r="D135" t="s">
        <v>265</v>
      </c>
      <c r="H135">
        <v>96</v>
      </c>
      <c r="I135">
        <v>12</v>
      </c>
      <c r="J135">
        <f t="shared" si="2"/>
        <v>8</v>
      </c>
    </row>
    <row r="136" spans="1:10" x14ac:dyDescent="0.25">
      <c r="A136" s="3" t="s">
        <v>228</v>
      </c>
      <c r="B136" t="s">
        <v>66</v>
      </c>
      <c r="C136" t="s">
        <v>264</v>
      </c>
      <c r="D136" t="s">
        <v>265</v>
      </c>
      <c r="H136">
        <v>96</v>
      </c>
      <c r="I136">
        <v>12</v>
      </c>
      <c r="J136">
        <f t="shared" si="2"/>
        <v>8</v>
      </c>
    </row>
    <row r="137" spans="1:10" x14ac:dyDescent="0.25">
      <c r="A137" s="3" t="s">
        <v>229</v>
      </c>
      <c r="B137" t="s">
        <v>66</v>
      </c>
      <c r="C137" t="s">
        <v>264</v>
      </c>
      <c r="D137" t="s">
        <v>265</v>
      </c>
      <c r="H137">
        <v>96</v>
      </c>
      <c r="I137">
        <v>12</v>
      </c>
      <c r="J137">
        <f t="shared" si="2"/>
        <v>8</v>
      </c>
    </row>
    <row r="138" spans="1:10" x14ac:dyDescent="0.25">
      <c r="A138" s="3" t="s">
        <v>230</v>
      </c>
      <c r="B138" t="s">
        <v>66</v>
      </c>
      <c r="C138" t="s">
        <v>264</v>
      </c>
      <c r="D138" t="s">
        <v>265</v>
      </c>
      <c r="H138">
        <v>96</v>
      </c>
      <c r="I138">
        <v>48</v>
      </c>
      <c r="J138">
        <f t="shared" si="2"/>
        <v>2</v>
      </c>
    </row>
    <row r="139" spans="1:10" x14ac:dyDescent="0.25">
      <c r="A139" s="3" t="s">
        <v>308</v>
      </c>
      <c r="B139" t="s">
        <v>66</v>
      </c>
      <c r="C139" t="s">
        <v>264</v>
      </c>
      <c r="D139" t="s">
        <v>265</v>
      </c>
      <c r="H139">
        <v>96</v>
      </c>
      <c r="I139">
        <v>48</v>
      </c>
      <c r="J139">
        <f t="shared" si="2"/>
        <v>2</v>
      </c>
    </row>
    <row r="140" spans="1:10" x14ac:dyDescent="0.25">
      <c r="A140" s="3" t="s">
        <v>231</v>
      </c>
      <c r="B140" t="s">
        <v>66</v>
      </c>
      <c r="C140" t="s">
        <v>264</v>
      </c>
      <c r="D140" t="s">
        <v>265</v>
      </c>
      <c r="H140">
        <v>96</v>
      </c>
      <c r="I140">
        <v>96</v>
      </c>
      <c r="J140">
        <f t="shared" si="2"/>
        <v>1</v>
      </c>
    </row>
    <row r="141" spans="1:10" x14ac:dyDescent="0.25">
      <c r="A141" s="3" t="s">
        <v>232</v>
      </c>
      <c r="B141" t="s">
        <v>66</v>
      </c>
      <c r="C141" t="s">
        <v>264</v>
      </c>
      <c r="D141" t="s">
        <v>265</v>
      </c>
      <c r="H141">
        <v>96</v>
      </c>
      <c r="I141">
        <v>12</v>
      </c>
      <c r="J141">
        <f t="shared" si="2"/>
        <v>8</v>
      </c>
    </row>
    <row r="142" spans="1:10" x14ac:dyDescent="0.25">
      <c r="A142" s="3" t="s">
        <v>233</v>
      </c>
      <c r="B142" t="s">
        <v>66</v>
      </c>
      <c r="C142" t="s">
        <v>264</v>
      </c>
      <c r="D142" t="s">
        <v>265</v>
      </c>
      <c r="H142">
        <v>96</v>
      </c>
      <c r="I142">
        <v>96</v>
      </c>
      <c r="J142">
        <f t="shared" si="2"/>
        <v>1</v>
      </c>
    </row>
    <row r="143" spans="1:10" x14ac:dyDescent="0.25">
      <c r="A143" s="3" t="s">
        <v>234</v>
      </c>
      <c r="B143" t="s">
        <v>66</v>
      </c>
      <c r="C143" t="s">
        <v>264</v>
      </c>
      <c r="D143" t="s">
        <v>265</v>
      </c>
      <c r="H143">
        <v>96</v>
      </c>
      <c r="I143">
        <v>48</v>
      </c>
      <c r="J143">
        <f t="shared" si="2"/>
        <v>2</v>
      </c>
    </row>
    <row r="144" spans="1:10" x14ac:dyDescent="0.25">
      <c r="A144" s="3" t="s">
        <v>235</v>
      </c>
      <c r="B144" t="s">
        <v>66</v>
      </c>
      <c r="C144" t="s">
        <v>264</v>
      </c>
      <c r="D144" t="s">
        <v>265</v>
      </c>
      <c r="H144">
        <v>96</v>
      </c>
      <c r="I144">
        <v>48</v>
      </c>
      <c r="J144">
        <f t="shared" si="2"/>
        <v>2</v>
      </c>
    </row>
    <row r="145" spans="1:10" x14ac:dyDescent="0.25">
      <c r="A145" s="3" t="s">
        <v>236</v>
      </c>
      <c r="B145" t="s">
        <v>66</v>
      </c>
      <c r="C145" t="s">
        <v>264</v>
      </c>
      <c r="D145" t="s">
        <v>265</v>
      </c>
      <c r="H145">
        <v>96</v>
      </c>
      <c r="I145">
        <v>96</v>
      </c>
      <c r="J145">
        <f t="shared" si="2"/>
        <v>1</v>
      </c>
    </row>
    <row r="146" spans="1:10" x14ac:dyDescent="0.25">
      <c r="A146" s="3" t="s">
        <v>237</v>
      </c>
      <c r="B146" t="s">
        <v>64</v>
      </c>
      <c r="C146" t="s">
        <v>258</v>
      </c>
      <c r="D146" t="s">
        <v>259</v>
      </c>
      <c r="H146">
        <v>96</v>
      </c>
      <c r="I146">
        <v>96</v>
      </c>
      <c r="J146">
        <f t="shared" si="2"/>
        <v>1</v>
      </c>
    </row>
    <row r="147" spans="1:10" x14ac:dyDescent="0.25">
      <c r="A147" s="3" t="s">
        <v>238</v>
      </c>
      <c r="B147" t="s">
        <v>64</v>
      </c>
      <c r="C147" t="s">
        <v>258</v>
      </c>
      <c r="D147" t="s">
        <v>259</v>
      </c>
      <c r="H147">
        <v>96</v>
      </c>
      <c r="I147">
        <v>48</v>
      </c>
      <c r="J147">
        <f t="shared" si="2"/>
        <v>2</v>
      </c>
    </row>
    <row r="148" spans="1:10" x14ac:dyDescent="0.25">
      <c r="A148" s="3" t="s">
        <v>239</v>
      </c>
      <c r="B148" t="s">
        <v>64</v>
      </c>
      <c r="C148" t="s">
        <v>258</v>
      </c>
      <c r="D148" t="s">
        <v>259</v>
      </c>
      <c r="H148">
        <v>96</v>
      </c>
      <c r="I148">
        <v>12</v>
      </c>
      <c r="J148">
        <f t="shared" si="2"/>
        <v>8</v>
      </c>
    </row>
    <row r="149" spans="1:10" x14ac:dyDescent="0.25">
      <c r="A149" s="3" t="s">
        <v>240</v>
      </c>
      <c r="B149" t="s">
        <v>64</v>
      </c>
      <c r="C149" t="s">
        <v>258</v>
      </c>
      <c r="D149" t="s">
        <v>259</v>
      </c>
      <c r="H149">
        <v>96</v>
      </c>
      <c r="I149">
        <v>24</v>
      </c>
      <c r="J149">
        <f t="shared" si="2"/>
        <v>4</v>
      </c>
    </row>
    <row r="150" spans="1:10" x14ac:dyDescent="0.25">
      <c r="A150" s="3" t="s">
        <v>241</v>
      </c>
      <c r="B150" t="s">
        <v>64</v>
      </c>
      <c r="C150" t="s">
        <v>258</v>
      </c>
      <c r="D150" t="s">
        <v>259</v>
      </c>
      <c r="H150">
        <v>96</v>
      </c>
      <c r="I150">
        <v>24</v>
      </c>
      <c r="J150">
        <f t="shared" si="2"/>
        <v>4</v>
      </c>
    </row>
    <row r="151" spans="1:10" x14ac:dyDescent="0.25">
      <c r="A151" s="3" t="s">
        <v>242</v>
      </c>
      <c r="B151" t="s">
        <v>64</v>
      </c>
      <c r="C151" t="s">
        <v>258</v>
      </c>
      <c r="D151" t="s">
        <v>259</v>
      </c>
      <c r="H151">
        <v>96</v>
      </c>
      <c r="I151">
        <v>12</v>
      </c>
      <c r="J151">
        <f t="shared" si="2"/>
        <v>8</v>
      </c>
    </row>
    <row r="152" spans="1:10" x14ac:dyDescent="0.25">
      <c r="A152" s="3" t="s">
        <v>243</v>
      </c>
      <c r="B152" t="s">
        <v>64</v>
      </c>
      <c r="C152" t="s">
        <v>258</v>
      </c>
      <c r="D152" t="s">
        <v>259</v>
      </c>
      <c r="H152">
        <v>96</v>
      </c>
      <c r="I152">
        <v>12</v>
      </c>
      <c r="J152">
        <f t="shared" si="2"/>
        <v>8</v>
      </c>
    </row>
    <row r="153" spans="1:10" x14ac:dyDescent="0.25">
      <c r="A153" s="3" t="s">
        <v>244</v>
      </c>
      <c r="B153" t="s">
        <v>64</v>
      </c>
      <c r="C153" t="s">
        <v>258</v>
      </c>
      <c r="D153" t="s">
        <v>259</v>
      </c>
      <c r="H153">
        <v>96</v>
      </c>
      <c r="I153">
        <v>12</v>
      </c>
      <c r="J153">
        <f t="shared" si="2"/>
        <v>8</v>
      </c>
    </row>
    <row r="154" spans="1:10" x14ac:dyDescent="0.25">
      <c r="A154" s="3" t="s">
        <v>245</v>
      </c>
      <c r="B154" t="s">
        <v>64</v>
      </c>
      <c r="C154" t="s">
        <v>258</v>
      </c>
      <c r="D154" t="s">
        <v>259</v>
      </c>
      <c r="H154">
        <v>96</v>
      </c>
      <c r="I154">
        <v>48</v>
      </c>
      <c r="J154">
        <f t="shared" si="2"/>
        <v>2</v>
      </c>
    </row>
    <row r="155" spans="1:10" x14ac:dyDescent="0.25">
      <c r="A155" s="3" t="s">
        <v>309</v>
      </c>
      <c r="B155" t="s">
        <v>64</v>
      </c>
      <c r="C155" t="s">
        <v>258</v>
      </c>
      <c r="D155" t="s">
        <v>259</v>
      </c>
      <c r="H155">
        <v>96</v>
      </c>
      <c r="I155">
        <v>48</v>
      </c>
      <c r="J155">
        <f t="shared" si="2"/>
        <v>2</v>
      </c>
    </row>
    <row r="156" spans="1:10" x14ac:dyDescent="0.25">
      <c r="A156" s="3" t="s">
        <v>246</v>
      </c>
      <c r="B156" t="s">
        <v>64</v>
      </c>
      <c r="C156" t="s">
        <v>258</v>
      </c>
      <c r="D156" t="s">
        <v>259</v>
      </c>
      <c r="H156">
        <v>96</v>
      </c>
      <c r="I156">
        <v>96</v>
      </c>
      <c r="J156">
        <f t="shared" si="2"/>
        <v>1</v>
      </c>
    </row>
    <row r="157" spans="1:10" x14ac:dyDescent="0.25">
      <c r="A157" s="3" t="s">
        <v>247</v>
      </c>
      <c r="B157" t="s">
        <v>64</v>
      </c>
      <c r="C157" t="s">
        <v>258</v>
      </c>
      <c r="D157" t="s">
        <v>259</v>
      </c>
      <c r="H157">
        <v>96</v>
      </c>
      <c r="I157">
        <v>12</v>
      </c>
      <c r="J157">
        <f t="shared" si="2"/>
        <v>8</v>
      </c>
    </row>
    <row r="158" spans="1:10" x14ac:dyDescent="0.25">
      <c r="A158" s="3" t="s">
        <v>248</v>
      </c>
      <c r="B158" t="s">
        <v>64</v>
      </c>
      <c r="C158" t="s">
        <v>258</v>
      </c>
      <c r="D158" t="s">
        <v>259</v>
      </c>
      <c r="H158">
        <v>96</v>
      </c>
      <c r="I158">
        <v>96</v>
      </c>
      <c r="J158">
        <f t="shared" si="2"/>
        <v>1</v>
      </c>
    </row>
    <row r="159" spans="1:10" x14ac:dyDescent="0.25">
      <c r="A159" s="3" t="s">
        <v>249</v>
      </c>
      <c r="B159" t="s">
        <v>64</v>
      </c>
      <c r="C159" t="s">
        <v>258</v>
      </c>
      <c r="D159" t="s">
        <v>259</v>
      </c>
      <c r="H159">
        <v>96</v>
      </c>
      <c r="I159">
        <v>48</v>
      </c>
      <c r="J159">
        <f t="shared" si="2"/>
        <v>2</v>
      </c>
    </row>
    <row r="160" spans="1:10" x14ac:dyDescent="0.25">
      <c r="A160" s="3" t="s">
        <v>250</v>
      </c>
      <c r="B160" t="s">
        <v>64</v>
      </c>
      <c r="C160" t="s">
        <v>258</v>
      </c>
      <c r="D160" t="s">
        <v>259</v>
      </c>
      <c r="H160">
        <v>96</v>
      </c>
      <c r="I160">
        <v>48</v>
      </c>
      <c r="J160">
        <f t="shared" si="2"/>
        <v>2</v>
      </c>
    </row>
    <row r="161" spans="1:10" x14ac:dyDescent="0.25">
      <c r="A161" s="3" t="s">
        <v>251</v>
      </c>
      <c r="B161" t="s">
        <v>64</v>
      </c>
      <c r="C161" t="s">
        <v>258</v>
      </c>
      <c r="D161" t="s">
        <v>259</v>
      </c>
      <c r="H161">
        <v>96</v>
      </c>
      <c r="I161">
        <v>96</v>
      </c>
      <c r="J161">
        <f t="shared" si="2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" sqref="C1:C4"/>
    </sheetView>
  </sheetViews>
  <sheetFormatPr defaultRowHeight="15" x14ac:dyDescent="0.25"/>
  <cols>
    <col min="1" max="1" width="13.42578125" bestFit="1" customWidth="1"/>
    <col min="2" max="2" width="23" bestFit="1" customWidth="1"/>
    <col min="3" max="3" width="11.5703125" bestFit="1" customWidth="1"/>
  </cols>
  <sheetData>
    <row r="1" spans="1:3" x14ac:dyDescent="0.25">
      <c r="A1" t="s">
        <v>77</v>
      </c>
      <c r="B1" t="s">
        <v>343</v>
      </c>
      <c r="C1" t="s">
        <v>338</v>
      </c>
    </row>
    <row r="2" spans="1:3" x14ac:dyDescent="0.25">
      <c r="A2" t="s">
        <v>77</v>
      </c>
      <c r="B2" t="s">
        <v>344</v>
      </c>
      <c r="C2" t="s">
        <v>339</v>
      </c>
    </row>
    <row r="3" spans="1:3" x14ac:dyDescent="0.25">
      <c r="A3" t="s">
        <v>341</v>
      </c>
      <c r="B3" t="s">
        <v>345</v>
      </c>
      <c r="C3" t="s">
        <v>340</v>
      </c>
    </row>
    <row r="4" spans="1:3" x14ac:dyDescent="0.25">
      <c r="A4" t="s">
        <v>342</v>
      </c>
      <c r="B4" t="s">
        <v>345</v>
      </c>
      <c r="C4" t="s">
        <v>340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A3" sqref="A3:C11"/>
    </sheetView>
  </sheetViews>
  <sheetFormatPr defaultRowHeight="15" x14ac:dyDescent="0.25"/>
  <cols>
    <col min="1" max="1" width="38.42578125" bestFit="1" customWidth="1"/>
  </cols>
  <sheetData>
    <row r="3" spans="1:3" x14ac:dyDescent="0.25">
      <c r="A3" t="s">
        <v>98</v>
      </c>
      <c r="B3" s="58">
        <v>330025</v>
      </c>
      <c r="C3" s="4" t="s">
        <v>267</v>
      </c>
    </row>
    <row r="4" spans="1:3" x14ac:dyDescent="0.25">
      <c r="A4" t="s">
        <v>99</v>
      </c>
      <c r="B4" s="58">
        <v>330033</v>
      </c>
      <c r="C4" s="4" t="s">
        <v>268</v>
      </c>
    </row>
    <row r="5" spans="1:3" x14ac:dyDescent="0.25">
      <c r="A5" s="4" t="s">
        <v>269</v>
      </c>
      <c r="B5" s="58">
        <v>330530</v>
      </c>
      <c r="C5" s="4" t="s">
        <v>269</v>
      </c>
    </row>
    <row r="6" spans="1:3" x14ac:dyDescent="0.25">
      <c r="A6" s="4" t="s">
        <v>270</v>
      </c>
      <c r="B6" s="58">
        <v>330540</v>
      </c>
      <c r="C6" s="4" t="s">
        <v>270</v>
      </c>
    </row>
    <row r="7" spans="1:3" x14ac:dyDescent="0.25">
      <c r="A7" s="4" t="s">
        <v>271</v>
      </c>
      <c r="B7" s="58">
        <v>338132</v>
      </c>
      <c r="C7" s="4" t="s">
        <v>271</v>
      </c>
    </row>
    <row r="8" spans="1:3" x14ac:dyDescent="0.25">
      <c r="A8" s="4" t="s">
        <v>272</v>
      </c>
      <c r="B8" s="69" t="s">
        <v>296</v>
      </c>
      <c r="C8" s="4" t="s">
        <v>272</v>
      </c>
    </row>
    <row r="9" spans="1:3" x14ac:dyDescent="0.25">
      <c r="A9" t="s">
        <v>100</v>
      </c>
      <c r="B9" s="58">
        <v>330161</v>
      </c>
      <c r="C9" s="4" t="s">
        <v>273</v>
      </c>
    </row>
    <row r="10" spans="1:3" x14ac:dyDescent="0.25">
      <c r="A10" t="s">
        <v>97</v>
      </c>
      <c r="B10" s="58">
        <v>330261</v>
      </c>
      <c r="C10" s="4" t="s">
        <v>274</v>
      </c>
    </row>
    <row r="11" spans="1:3" x14ac:dyDescent="0.25">
      <c r="A11" s="4" t="s">
        <v>101</v>
      </c>
      <c r="B11" s="58">
        <v>337012</v>
      </c>
      <c r="C11" s="4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35"/>
  <sheetViews>
    <sheetView topLeftCell="A3" workbookViewId="0">
      <selection activeCell="A3" sqref="A3:L35"/>
    </sheetView>
  </sheetViews>
  <sheetFormatPr defaultRowHeight="15" x14ac:dyDescent="0.25"/>
  <cols>
    <col min="1" max="1" width="35.7109375" bestFit="1" customWidth="1"/>
    <col min="3" max="3" width="14.7109375" bestFit="1" customWidth="1"/>
    <col min="5" max="5" width="9.7109375" bestFit="1" customWidth="1"/>
  </cols>
  <sheetData>
    <row r="1" spans="1:12" x14ac:dyDescent="0.25">
      <c r="B1" s="188" t="s">
        <v>41</v>
      </c>
      <c r="C1" s="188"/>
      <c r="D1" s="188"/>
      <c r="E1" s="188"/>
      <c r="F1" s="188"/>
      <c r="G1" s="188" t="s">
        <v>42</v>
      </c>
      <c r="H1" s="188"/>
      <c r="I1" s="188"/>
      <c r="J1" s="188"/>
      <c r="K1" s="188"/>
    </row>
    <row r="2" spans="1:12" x14ac:dyDescent="0.25">
      <c r="A2" t="s">
        <v>0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</row>
    <row r="3" spans="1:12" x14ac:dyDescent="0.25">
      <c r="A3" t="s">
        <v>1</v>
      </c>
      <c r="B3">
        <v>180642</v>
      </c>
      <c r="C3" t="s">
        <v>34</v>
      </c>
      <c r="D3" t="s">
        <v>50</v>
      </c>
      <c r="E3">
        <v>30</v>
      </c>
      <c r="F3">
        <v>260</v>
      </c>
      <c r="G3">
        <v>180654</v>
      </c>
      <c r="H3" t="s">
        <v>35</v>
      </c>
      <c r="I3" t="s">
        <v>51</v>
      </c>
      <c r="J3">
        <v>60</v>
      </c>
      <c r="K3">
        <v>210</v>
      </c>
      <c r="L3">
        <v>96</v>
      </c>
    </row>
    <row r="4" spans="1:12" x14ac:dyDescent="0.25">
      <c r="A4" t="s">
        <v>2</v>
      </c>
      <c r="B4">
        <v>180642</v>
      </c>
      <c r="C4" t="s">
        <v>34</v>
      </c>
      <c r="D4" t="s">
        <v>50</v>
      </c>
      <c r="E4">
        <v>30</v>
      </c>
      <c r="F4">
        <v>260</v>
      </c>
      <c r="G4">
        <v>180654</v>
      </c>
      <c r="H4" t="s">
        <v>35</v>
      </c>
      <c r="I4" t="s">
        <v>51</v>
      </c>
      <c r="J4">
        <v>60</v>
      </c>
      <c r="K4">
        <v>210</v>
      </c>
      <c r="L4">
        <v>96</v>
      </c>
    </row>
    <row r="5" spans="1:12" x14ac:dyDescent="0.25">
      <c r="A5" t="s">
        <v>3</v>
      </c>
      <c r="B5">
        <v>180642</v>
      </c>
      <c r="C5" t="s">
        <v>34</v>
      </c>
      <c r="D5" t="s">
        <v>50</v>
      </c>
      <c r="E5">
        <v>30</v>
      </c>
      <c r="F5">
        <v>260</v>
      </c>
      <c r="G5">
        <v>180654</v>
      </c>
      <c r="H5" t="s">
        <v>35</v>
      </c>
      <c r="I5" t="s">
        <v>51</v>
      </c>
      <c r="J5">
        <v>60</v>
      </c>
      <c r="K5">
        <v>210</v>
      </c>
      <c r="L5">
        <v>96</v>
      </c>
    </row>
    <row r="6" spans="1:12" x14ac:dyDescent="0.25">
      <c r="A6" t="s">
        <v>4</v>
      </c>
      <c r="B6">
        <v>180642</v>
      </c>
      <c r="C6" t="s">
        <v>34</v>
      </c>
      <c r="D6" t="s">
        <v>50</v>
      </c>
      <c r="E6">
        <v>30</v>
      </c>
      <c r="F6">
        <v>260</v>
      </c>
      <c r="G6">
        <v>180654</v>
      </c>
      <c r="H6" t="s">
        <v>35</v>
      </c>
      <c r="I6" t="s">
        <v>51</v>
      </c>
      <c r="J6">
        <v>60</v>
      </c>
      <c r="K6">
        <v>210</v>
      </c>
      <c r="L6">
        <v>96</v>
      </c>
    </row>
    <row r="7" spans="1:12" x14ac:dyDescent="0.25">
      <c r="A7" t="s">
        <v>5</v>
      </c>
      <c r="B7">
        <v>180642</v>
      </c>
      <c r="C7" t="s">
        <v>34</v>
      </c>
      <c r="D7" t="s">
        <v>50</v>
      </c>
      <c r="E7">
        <v>30</v>
      </c>
      <c r="F7">
        <v>260</v>
      </c>
      <c r="G7">
        <v>180654</v>
      </c>
      <c r="H7" t="s">
        <v>35</v>
      </c>
      <c r="I7" t="s">
        <v>51</v>
      </c>
      <c r="J7">
        <v>60</v>
      </c>
      <c r="K7">
        <v>210</v>
      </c>
      <c r="L7">
        <v>96</v>
      </c>
    </row>
    <row r="8" spans="1:12" x14ac:dyDescent="0.25">
      <c r="A8" t="s">
        <v>6</v>
      </c>
      <c r="B8">
        <v>180642</v>
      </c>
      <c r="C8" t="s">
        <v>34</v>
      </c>
      <c r="D8" t="s">
        <v>50</v>
      </c>
      <c r="E8">
        <v>30</v>
      </c>
      <c r="F8">
        <v>260</v>
      </c>
      <c r="G8">
        <v>180654</v>
      </c>
      <c r="H8" t="s">
        <v>35</v>
      </c>
      <c r="I8" t="s">
        <v>51</v>
      </c>
      <c r="J8">
        <v>60</v>
      </c>
      <c r="K8">
        <v>210</v>
      </c>
      <c r="L8">
        <v>96</v>
      </c>
    </row>
    <row r="9" spans="1:12" x14ac:dyDescent="0.25">
      <c r="A9" t="s">
        <v>7</v>
      </c>
      <c r="B9">
        <v>180642</v>
      </c>
      <c r="C9" t="s">
        <v>34</v>
      </c>
      <c r="D9" t="s">
        <v>50</v>
      </c>
      <c r="E9">
        <v>30</v>
      </c>
      <c r="F9">
        <v>260</v>
      </c>
      <c r="G9">
        <v>180654</v>
      </c>
      <c r="H9" t="s">
        <v>35</v>
      </c>
      <c r="I9" t="s">
        <v>51</v>
      </c>
      <c r="J9">
        <v>60</v>
      </c>
      <c r="K9">
        <v>210</v>
      </c>
      <c r="L9">
        <v>96</v>
      </c>
    </row>
    <row r="10" spans="1:12" x14ac:dyDescent="0.25">
      <c r="A10" t="s">
        <v>8</v>
      </c>
      <c r="B10">
        <v>180642</v>
      </c>
      <c r="C10" t="s">
        <v>43</v>
      </c>
      <c r="D10" t="s">
        <v>50</v>
      </c>
      <c r="E10">
        <v>30</v>
      </c>
      <c r="F10">
        <v>260</v>
      </c>
      <c r="G10">
        <v>180654</v>
      </c>
      <c r="H10" t="s">
        <v>35</v>
      </c>
      <c r="I10" t="s">
        <v>51</v>
      </c>
      <c r="J10">
        <v>60</v>
      </c>
      <c r="K10">
        <v>210</v>
      </c>
      <c r="L10">
        <v>96</v>
      </c>
    </row>
    <row r="11" spans="1:12" x14ac:dyDescent="0.25">
      <c r="A11" t="s">
        <v>9</v>
      </c>
      <c r="B11">
        <v>180642</v>
      </c>
      <c r="C11" t="s">
        <v>43</v>
      </c>
      <c r="D11" t="s">
        <v>50</v>
      </c>
      <c r="E11">
        <v>30</v>
      </c>
      <c r="F11">
        <v>260</v>
      </c>
      <c r="G11">
        <v>180654</v>
      </c>
      <c r="H11" t="s">
        <v>35</v>
      </c>
      <c r="I11" t="s">
        <v>51</v>
      </c>
      <c r="J11">
        <v>60</v>
      </c>
      <c r="K11">
        <v>210</v>
      </c>
      <c r="L11">
        <v>96</v>
      </c>
    </row>
    <row r="12" spans="1:12" x14ac:dyDescent="0.25">
      <c r="A12" t="s">
        <v>10</v>
      </c>
      <c r="B12">
        <v>180642</v>
      </c>
      <c r="C12" t="s">
        <v>43</v>
      </c>
      <c r="D12" t="s">
        <v>50</v>
      </c>
      <c r="E12">
        <v>30</v>
      </c>
      <c r="F12">
        <v>260</v>
      </c>
      <c r="G12">
        <v>180654</v>
      </c>
      <c r="H12" t="s">
        <v>35</v>
      </c>
      <c r="I12" t="s">
        <v>51</v>
      </c>
      <c r="J12">
        <v>60</v>
      </c>
      <c r="K12">
        <v>210</v>
      </c>
      <c r="L12">
        <v>96</v>
      </c>
    </row>
    <row r="13" spans="1:12" x14ac:dyDescent="0.25">
      <c r="A13" t="s">
        <v>11</v>
      </c>
      <c r="B13">
        <v>180642</v>
      </c>
      <c r="C13" t="s">
        <v>43</v>
      </c>
      <c r="D13" t="s">
        <v>50</v>
      </c>
      <c r="E13">
        <v>30</v>
      </c>
      <c r="F13">
        <v>260</v>
      </c>
      <c r="G13">
        <v>180654</v>
      </c>
      <c r="H13" t="s">
        <v>35</v>
      </c>
      <c r="I13" t="s">
        <v>51</v>
      </c>
      <c r="J13">
        <v>60</v>
      </c>
      <c r="K13">
        <v>210</v>
      </c>
      <c r="L13">
        <v>96</v>
      </c>
    </row>
    <row r="14" spans="1:12" x14ac:dyDescent="0.25">
      <c r="A14" t="s">
        <v>12</v>
      </c>
      <c r="B14">
        <v>180642</v>
      </c>
      <c r="C14" s="2" t="s">
        <v>72</v>
      </c>
      <c r="D14" t="s">
        <v>50</v>
      </c>
      <c r="E14">
        <v>63</v>
      </c>
      <c r="F14">
        <v>265</v>
      </c>
      <c r="G14">
        <v>180654</v>
      </c>
      <c r="H14" t="s">
        <v>35</v>
      </c>
      <c r="I14" t="s">
        <v>51</v>
      </c>
      <c r="J14">
        <v>60</v>
      </c>
      <c r="K14">
        <v>210</v>
      </c>
      <c r="L14">
        <v>384</v>
      </c>
    </row>
    <row r="15" spans="1:12" x14ac:dyDescent="0.25">
      <c r="A15" t="s">
        <v>13</v>
      </c>
      <c r="B15">
        <v>180642</v>
      </c>
      <c r="C15" t="s">
        <v>72</v>
      </c>
      <c r="D15" t="s">
        <v>50</v>
      </c>
      <c r="E15">
        <v>63</v>
      </c>
      <c r="F15">
        <v>265</v>
      </c>
      <c r="G15">
        <v>180654</v>
      </c>
      <c r="H15" t="s">
        <v>35</v>
      </c>
      <c r="I15" t="s">
        <v>51</v>
      </c>
      <c r="J15">
        <v>60</v>
      </c>
      <c r="K15">
        <v>210</v>
      </c>
      <c r="L15">
        <v>384</v>
      </c>
    </row>
    <row r="16" spans="1:12" x14ac:dyDescent="0.25">
      <c r="A16" t="s">
        <v>14</v>
      </c>
      <c r="B16">
        <v>180642</v>
      </c>
      <c r="C16" s="2" t="s">
        <v>73</v>
      </c>
      <c r="D16" t="s">
        <v>50</v>
      </c>
      <c r="E16">
        <v>63</v>
      </c>
      <c r="F16">
        <v>265</v>
      </c>
      <c r="G16">
        <v>180654</v>
      </c>
      <c r="H16" t="s">
        <v>52</v>
      </c>
      <c r="I16" t="s">
        <v>51</v>
      </c>
      <c r="J16">
        <v>60</v>
      </c>
      <c r="K16">
        <v>210</v>
      </c>
      <c r="L16">
        <v>384</v>
      </c>
    </row>
    <row r="17" spans="1:12" x14ac:dyDescent="0.25">
      <c r="A17" t="s">
        <v>15</v>
      </c>
      <c r="B17">
        <v>180642</v>
      </c>
      <c r="C17" t="s">
        <v>44</v>
      </c>
      <c r="D17" t="s">
        <v>50</v>
      </c>
      <c r="E17">
        <v>30</v>
      </c>
      <c r="F17">
        <v>260</v>
      </c>
      <c r="G17">
        <v>180654</v>
      </c>
      <c r="H17" t="s">
        <v>52</v>
      </c>
      <c r="I17" t="s">
        <v>51</v>
      </c>
      <c r="J17">
        <v>60</v>
      </c>
      <c r="K17">
        <v>210</v>
      </c>
      <c r="L17">
        <v>96</v>
      </c>
    </row>
    <row r="18" spans="1:12" x14ac:dyDescent="0.25">
      <c r="A18" t="s">
        <v>16</v>
      </c>
      <c r="B18">
        <v>180642</v>
      </c>
      <c r="C18" t="s">
        <v>44</v>
      </c>
      <c r="D18" t="s">
        <v>50</v>
      </c>
      <c r="E18">
        <v>30</v>
      </c>
      <c r="F18">
        <v>260</v>
      </c>
      <c r="G18">
        <v>180654</v>
      </c>
      <c r="H18" t="s">
        <v>52</v>
      </c>
      <c r="I18" t="s">
        <v>51</v>
      </c>
      <c r="J18">
        <v>60</v>
      </c>
      <c r="K18">
        <v>210</v>
      </c>
      <c r="L18">
        <v>96</v>
      </c>
    </row>
    <row r="19" spans="1:12" x14ac:dyDescent="0.25">
      <c r="A19" t="s">
        <v>17</v>
      </c>
      <c r="B19">
        <v>180642</v>
      </c>
      <c r="C19" t="s">
        <v>45</v>
      </c>
      <c r="D19" t="s">
        <v>50</v>
      </c>
      <c r="E19">
        <v>30</v>
      </c>
      <c r="F19">
        <v>260</v>
      </c>
      <c r="G19">
        <v>180654</v>
      </c>
      <c r="H19" t="s">
        <v>52</v>
      </c>
      <c r="I19" t="s">
        <v>51</v>
      </c>
      <c r="J19">
        <v>60</v>
      </c>
      <c r="K19">
        <v>210</v>
      </c>
      <c r="L19">
        <v>96</v>
      </c>
    </row>
    <row r="20" spans="1:12" x14ac:dyDescent="0.25">
      <c r="A20" t="s">
        <v>18</v>
      </c>
      <c r="B20">
        <v>180642</v>
      </c>
      <c r="C20" t="s">
        <v>46</v>
      </c>
      <c r="D20" t="s">
        <v>50</v>
      </c>
      <c r="E20">
        <v>30</v>
      </c>
      <c r="F20">
        <v>260</v>
      </c>
      <c r="G20">
        <v>180654</v>
      </c>
      <c r="H20" t="s">
        <v>53</v>
      </c>
      <c r="I20" t="s">
        <v>51</v>
      </c>
      <c r="J20">
        <v>60</v>
      </c>
      <c r="K20">
        <v>210</v>
      </c>
      <c r="L20">
        <v>96</v>
      </c>
    </row>
    <row r="21" spans="1:12" x14ac:dyDescent="0.25">
      <c r="A21" t="s">
        <v>19</v>
      </c>
      <c r="B21">
        <v>180642</v>
      </c>
      <c r="C21" t="s">
        <v>46</v>
      </c>
      <c r="D21" t="s">
        <v>50</v>
      </c>
      <c r="E21">
        <v>30</v>
      </c>
      <c r="F21">
        <v>260</v>
      </c>
      <c r="G21">
        <v>180654</v>
      </c>
      <c r="H21" t="s">
        <v>53</v>
      </c>
      <c r="I21" t="s">
        <v>51</v>
      </c>
      <c r="J21">
        <v>60</v>
      </c>
      <c r="K21">
        <v>210</v>
      </c>
      <c r="L21">
        <v>96</v>
      </c>
    </row>
    <row r="22" spans="1:12" x14ac:dyDescent="0.25">
      <c r="A22" t="s">
        <v>20</v>
      </c>
      <c r="B22">
        <v>180642</v>
      </c>
      <c r="C22" t="s">
        <v>46</v>
      </c>
      <c r="D22" t="s">
        <v>50</v>
      </c>
      <c r="E22">
        <v>30</v>
      </c>
      <c r="F22">
        <v>260</v>
      </c>
      <c r="G22">
        <v>180654</v>
      </c>
      <c r="H22" t="s">
        <v>53</v>
      </c>
      <c r="I22" t="s">
        <v>51</v>
      </c>
      <c r="J22">
        <v>60</v>
      </c>
      <c r="K22">
        <v>210</v>
      </c>
      <c r="L22">
        <v>96</v>
      </c>
    </row>
    <row r="23" spans="1:12" x14ac:dyDescent="0.25">
      <c r="A23" t="s">
        <v>21</v>
      </c>
      <c r="B23">
        <v>180642</v>
      </c>
      <c r="C23" t="s">
        <v>46</v>
      </c>
      <c r="D23" t="s">
        <v>50</v>
      </c>
      <c r="E23">
        <v>30</v>
      </c>
      <c r="F23">
        <v>260</v>
      </c>
      <c r="G23">
        <v>180654</v>
      </c>
      <c r="H23" t="s">
        <v>53</v>
      </c>
      <c r="I23" t="s">
        <v>51</v>
      </c>
      <c r="J23">
        <v>60</v>
      </c>
      <c r="K23">
        <v>210</v>
      </c>
      <c r="L23">
        <v>96</v>
      </c>
    </row>
    <row r="24" spans="1:12" x14ac:dyDescent="0.25">
      <c r="A24" t="s">
        <v>22</v>
      </c>
      <c r="B24">
        <v>180642</v>
      </c>
      <c r="C24" t="s">
        <v>34</v>
      </c>
      <c r="D24" t="s">
        <v>50</v>
      </c>
      <c r="E24">
        <v>30</v>
      </c>
      <c r="F24">
        <v>260</v>
      </c>
      <c r="G24">
        <v>180654</v>
      </c>
      <c r="H24" t="s">
        <v>35</v>
      </c>
      <c r="I24" t="s">
        <v>51</v>
      </c>
      <c r="J24">
        <v>60</v>
      </c>
      <c r="K24">
        <v>210</v>
      </c>
      <c r="L24">
        <v>96</v>
      </c>
    </row>
    <row r="25" spans="1:12" x14ac:dyDescent="0.25">
      <c r="A25" t="s">
        <v>23</v>
      </c>
      <c r="B25">
        <v>180642</v>
      </c>
      <c r="C25" t="s">
        <v>34</v>
      </c>
      <c r="D25" t="s">
        <v>50</v>
      </c>
      <c r="E25">
        <v>30</v>
      </c>
      <c r="F25">
        <v>260</v>
      </c>
      <c r="G25">
        <v>180654</v>
      </c>
      <c r="H25" t="s">
        <v>35</v>
      </c>
      <c r="I25" t="s">
        <v>51</v>
      </c>
      <c r="J25">
        <v>60</v>
      </c>
      <c r="K25">
        <v>210</v>
      </c>
      <c r="L25">
        <v>96</v>
      </c>
    </row>
    <row r="26" spans="1:12" x14ac:dyDescent="0.25">
      <c r="A26" t="s">
        <v>24</v>
      </c>
      <c r="B26">
        <v>180642</v>
      </c>
      <c r="C26" t="s">
        <v>34</v>
      </c>
      <c r="D26" t="s">
        <v>50</v>
      </c>
      <c r="E26">
        <v>30</v>
      </c>
      <c r="F26">
        <v>260</v>
      </c>
      <c r="G26">
        <v>180654</v>
      </c>
      <c r="H26" t="s">
        <v>35</v>
      </c>
      <c r="I26" t="s">
        <v>51</v>
      </c>
      <c r="J26">
        <v>60</v>
      </c>
      <c r="K26">
        <v>210</v>
      </c>
      <c r="L26">
        <v>96</v>
      </c>
    </row>
    <row r="27" spans="1:12" x14ac:dyDescent="0.25">
      <c r="A27" t="s">
        <v>25</v>
      </c>
      <c r="B27">
        <v>180642</v>
      </c>
      <c r="C27" t="s">
        <v>34</v>
      </c>
      <c r="D27" t="s">
        <v>50</v>
      </c>
      <c r="E27">
        <v>30</v>
      </c>
      <c r="F27">
        <v>260</v>
      </c>
      <c r="G27">
        <v>180654</v>
      </c>
      <c r="H27" t="s">
        <v>35</v>
      </c>
      <c r="I27" t="s">
        <v>51</v>
      </c>
      <c r="J27">
        <v>60</v>
      </c>
      <c r="K27">
        <v>210</v>
      </c>
      <c r="L27">
        <v>96</v>
      </c>
    </row>
    <row r="28" spans="1:12" x14ac:dyDescent="0.25">
      <c r="A28" t="s">
        <v>26</v>
      </c>
      <c r="B28">
        <v>180642</v>
      </c>
      <c r="C28" t="s">
        <v>47</v>
      </c>
      <c r="D28" t="s">
        <v>50</v>
      </c>
      <c r="E28">
        <v>30</v>
      </c>
      <c r="F28">
        <v>340</v>
      </c>
      <c r="G28">
        <v>180654</v>
      </c>
      <c r="H28" t="s">
        <v>54</v>
      </c>
      <c r="I28" t="s">
        <v>51</v>
      </c>
      <c r="J28">
        <v>60</v>
      </c>
      <c r="K28">
        <v>210</v>
      </c>
      <c r="L28">
        <v>96</v>
      </c>
    </row>
    <row r="29" spans="1:12" x14ac:dyDescent="0.25">
      <c r="A29" t="s">
        <v>27</v>
      </c>
      <c r="B29">
        <v>180642</v>
      </c>
      <c r="C29" t="s">
        <v>47</v>
      </c>
      <c r="D29" t="s">
        <v>50</v>
      </c>
      <c r="E29">
        <v>30</v>
      </c>
      <c r="F29">
        <v>340</v>
      </c>
      <c r="G29">
        <v>180654</v>
      </c>
      <c r="H29" t="s">
        <v>54</v>
      </c>
      <c r="I29" t="s">
        <v>51</v>
      </c>
      <c r="J29">
        <v>60</v>
      </c>
      <c r="K29">
        <v>210</v>
      </c>
      <c r="L29">
        <v>96</v>
      </c>
    </row>
    <row r="30" spans="1:12" x14ac:dyDescent="0.25">
      <c r="A30" t="s">
        <v>28</v>
      </c>
      <c r="B30">
        <v>180642</v>
      </c>
      <c r="C30" t="s">
        <v>74</v>
      </c>
      <c r="D30" t="s">
        <v>50</v>
      </c>
      <c r="E30">
        <v>63</v>
      </c>
      <c r="F30">
        <v>265</v>
      </c>
      <c r="G30">
        <v>180654</v>
      </c>
      <c r="H30" t="s">
        <v>52</v>
      </c>
      <c r="I30" t="s">
        <v>51</v>
      </c>
      <c r="J30">
        <v>60</v>
      </c>
      <c r="K30">
        <v>210</v>
      </c>
      <c r="L30">
        <v>384</v>
      </c>
    </row>
    <row r="31" spans="1:12" x14ac:dyDescent="0.25">
      <c r="A31" t="s">
        <v>29</v>
      </c>
      <c r="B31">
        <v>180642</v>
      </c>
      <c r="C31" t="s">
        <v>48</v>
      </c>
      <c r="D31" t="s">
        <v>50</v>
      </c>
      <c r="E31">
        <v>30</v>
      </c>
      <c r="F31">
        <v>260</v>
      </c>
      <c r="G31">
        <v>180654</v>
      </c>
      <c r="H31" t="s">
        <v>52</v>
      </c>
      <c r="I31" t="s">
        <v>51</v>
      </c>
      <c r="J31">
        <v>60</v>
      </c>
      <c r="K31">
        <v>210</v>
      </c>
      <c r="L31">
        <v>96</v>
      </c>
    </row>
    <row r="32" spans="1:12" x14ac:dyDescent="0.25">
      <c r="A32" t="s">
        <v>30</v>
      </c>
      <c r="B32">
        <v>180642</v>
      </c>
      <c r="C32" t="s">
        <v>34</v>
      </c>
      <c r="D32" t="s">
        <v>50</v>
      </c>
      <c r="E32">
        <v>30</v>
      </c>
      <c r="F32">
        <v>260</v>
      </c>
      <c r="G32">
        <v>180654</v>
      </c>
      <c r="H32" t="s">
        <v>35</v>
      </c>
      <c r="I32" t="s">
        <v>51</v>
      </c>
      <c r="J32">
        <v>60</v>
      </c>
      <c r="K32">
        <v>210</v>
      </c>
      <c r="L32">
        <v>96</v>
      </c>
    </row>
    <row r="33" spans="1:12" x14ac:dyDescent="0.25">
      <c r="A33" t="s">
        <v>31</v>
      </c>
      <c r="B33">
        <v>180642</v>
      </c>
      <c r="C33" t="s">
        <v>34</v>
      </c>
      <c r="D33" t="s">
        <v>50</v>
      </c>
      <c r="E33">
        <v>30</v>
      </c>
      <c r="F33">
        <v>260</v>
      </c>
      <c r="G33">
        <v>180654</v>
      </c>
      <c r="H33" t="s">
        <v>35</v>
      </c>
      <c r="I33" t="s">
        <v>51</v>
      </c>
      <c r="J33">
        <v>60</v>
      </c>
      <c r="K33">
        <v>210</v>
      </c>
      <c r="L33">
        <v>96</v>
      </c>
    </row>
    <row r="34" spans="1:12" x14ac:dyDescent="0.25">
      <c r="A34" t="s">
        <v>32</v>
      </c>
      <c r="B34">
        <v>180642</v>
      </c>
      <c r="C34" t="s">
        <v>49</v>
      </c>
      <c r="D34" t="s">
        <v>50</v>
      </c>
      <c r="E34">
        <v>30</v>
      </c>
      <c r="F34">
        <v>260</v>
      </c>
      <c r="G34">
        <v>180654</v>
      </c>
      <c r="H34" t="s">
        <v>35</v>
      </c>
      <c r="I34" t="s">
        <v>51</v>
      </c>
      <c r="J34">
        <v>60</v>
      </c>
      <c r="K34">
        <v>210</v>
      </c>
      <c r="L34">
        <v>96</v>
      </c>
    </row>
    <row r="35" spans="1:12" x14ac:dyDescent="0.25">
      <c r="A35" t="s">
        <v>33</v>
      </c>
      <c r="B35">
        <v>180642</v>
      </c>
      <c r="C35" t="s">
        <v>34</v>
      </c>
      <c r="D35" t="s">
        <v>50</v>
      </c>
      <c r="E35">
        <v>30</v>
      </c>
      <c r="F35">
        <v>260</v>
      </c>
      <c r="G35">
        <v>180654</v>
      </c>
      <c r="H35" t="s">
        <v>35</v>
      </c>
      <c r="I35" t="s">
        <v>51</v>
      </c>
      <c r="J35">
        <v>60</v>
      </c>
      <c r="K35">
        <v>210</v>
      </c>
      <c r="L35">
        <v>96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workbookViewId="0">
      <selection activeCell="C8" sqref="C8"/>
    </sheetView>
  </sheetViews>
  <sheetFormatPr defaultRowHeight="15" x14ac:dyDescent="0.25"/>
  <cols>
    <col min="3" max="3" width="21.7109375" bestFit="1" customWidth="1"/>
  </cols>
  <sheetData>
    <row r="2" spans="1:7" x14ac:dyDescent="0.25">
      <c r="A2" t="s">
        <v>77</v>
      </c>
      <c r="G2" t="s">
        <v>1</v>
      </c>
    </row>
    <row r="3" spans="1:7" x14ac:dyDescent="0.25">
      <c r="A3" t="s">
        <v>342</v>
      </c>
      <c r="G3" t="s">
        <v>2</v>
      </c>
    </row>
    <row r="4" spans="1:7" x14ac:dyDescent="0.25">
      <c r="A4" t="s">
        <v>341</v>
      </c>
      <c r="G4" t="s">
        <v>3</v>
      </c>
    </row>
    <row r="5" spans="1:7" x14ac:dyDescent="0.25">
      <c r="G5" t="s">
        <v>4</v>
      </c>
    </row>
    <row r="6" spans="1:7" x14ac:dyDescent="0.25">
      <c r="G6" t="s">
        <v>5</v>
      </c>
    </row>
    <row r="7" spans="1:7" x14ac:dyDescent="0.25">
      <c r="G7" t="s">
        <v>6</v>
      </c>
    </row>
    <row r="8" spans="1:7" x14ac:dyDescent="0.25">
      <c r="G8" t="s">
        <v>7</v>
      </c>
    </row>
    <row r="9" spans="1:7" x14ac:dyDescent="0.25">
      <c r="G9" t="s">
        <v>8</v>
      </c>
    </row>
    <row r="10" spans="1:7" x14ac:dyDescent="0.25">
      <c r="G10" t="s">
        <v>9</v>
      </c>
    </row>
    <row r="11" spans="1:7" x14ac:dyDescent="0.25">
      <c r="A11" t="s">
        <v>78</v>
      </c>
      <c r="G11" t="s">
        <v>10</v>
      </c>
    </row>
    <row r="12" spans="1:7" x14ac:dyDescent="0.25">
      <c r="A12" t="s">
        <v>79</v>
      </c>
      <c r="G12" t="s">
        <v>11</v>
      </c>
    </row>
    <row r="13" spans="1:7" x14ac:dyDescent="0.25">
      <c r="A13" t="s">
        <v>80</v>
      </c>
      <c r="G13" t="s">
        <v>12</v>
      </c>
    </row>
    <row r="14" spans="1:7" x14ac:dyDescent="0.25">
      <c r="G14" t="s">
        <v>13</v>
      </c>
    </row>
    <row r="15" spans="1:7" x14ac:dyDescent="0.25">
      <c r="A15" t="s">
        <v>81</v>
      </c>
      <c r="G15" t="s">
        <v>14</v>
      </c>
    </row>
    <row r="16" spans="1:7" x14ac:dyDescent="0.25">
      <c r="A16" t="s">
        <v>82</v>
      </c>
      <c r="G16" t="s">
        <v>15</v>
      </c>
    </row>
    <row r="17" spans="1:7" x14ac:dyDescent="0.25">
      <c r="A17" t="s">
        <v>83</v>
      </c>
      <c r="G17" t="s">
        <v>16</v>
      </c>
    </row>
    <row r="18" spans="1:7" x14ac:dyDescent="0.25">
      <c r="A18" t="s">
        <v>84</v>
      </c>
      <c r="G18" t="s">
        <v>17</v>
      </c>
    </row>
    <row r="19" spans="1:7" x14ac:dyDescent="0.25">
      <c r="A19" t="s">
        <v>85</v>
      </c>
      <c r="G19" t="s">
        <v>18</v>
      </c>
    </row>
    <row r="20" spans="1:7" x14ac:dyDescent="0.25">
      <c r="A20" t="s">
        <v>86</v>
      </c>
      <c r="G20" t="s">
        <v>19</v>
      </c>
    </row>
    <row r="21" spans="1:7" x14ac:dyDescent="0.25">
      <c r="A21" t="s">
        <v>87</v>
      </c>
      <c r="G21" t="s">
        <v>20</v>
      </c>
    </row>
    <row r="22" spans="1:7" x14ac:dyDescent="0.25">
      <c r="A22" t="s">
        <v>88</v>
      </c>
      <c r="G22" t="s">
        <v>21</v>
      </c>
    </row>
    <row r="23" spans="1:7" x14ac:dyDescent="0.25">
      <c r="A23" t="s">
        <v>89</v>
      </c>
      <c r="G23" t="s">
        <v>22</v>
      </c>
    </row>
    <row r="24" spans="1:7" x14ac:dyDescent="0.25">
      <c r="A24" t="s">
        <v>90</v>
      </c>
      <c r="G24" t="s">
        <v>23</v>
      </c>
    </row>
    <row r="25" spans="1:7" x14ac:dyDescent="0.25">
      <c r="A25" t="s">
        <v>91</v>
      </c>
      <c r="G25" t="s">
        <v>24</v>
      </c>
    </row>
    <row r="26" spans="1:7" x14ac:dyDescent="0.25">
      <c r="A26" t="s">
        <v>92</v>
      </c>
      <c r="G26" t="s">
        <v>25</v>
      </c>
    </row>
    <row r="27" spans="1:7" x14ac:dyDescent="0.25">
      <c r="A27" t="s">
        <v>93</v>
      </c>
      <c r="G27" t="s">
        <v>26</v>
      </c>
    </row>
    <row r="28" spans="1:7" x14ac:dyDescent="0.25">
      <c r="A28" t="s">
        <v>94</v>
      </c>
      <c r="G28" t="s">
        <v>27</v>
      </c>
    </row>
    <row r="29" spans="1:7" x14ac:dyDescent="0.25">
      <c r="A29" t="s">
        <v>95</v>
      </c>
      <c r="G29" t="s">
        <v>28</v>
      </c>
    </row>
    <row r="30" spans="1:7" x14ac:dyDescent="0.25">
      <c r="A30" t="s">
        <v>96</v>
      </c>
      <c r="G30" t="s">
        <v>29</v>
      </c>
    </row>
    <row r="31" spans="1:7" x14ac:dyDescent="0.25">
      <c r="G31" t="s">
        <v>30</v>
      </c>
    </row>
    <row r="32" spans="1:7" x14ac:dyDescent="0.25">
      <c r="A32" t="s">
        <v>97</v>
      </c>
      <c r="G32" t="s">
        <v>31</v>
      </c>
    </row>
    <row r="33" spans="1:11" x14ac:dyDescent="0.25">
      <c r="A33" t="s">
        <v>98</v>
      </c>
      <c r="G33" t="s">
        <v>32</v>
      </c>
    </row>
    <row r="34" spans="1:11" x14ac:dyDescent="0.25">
      <c r="A34" t="s">
        <v>99</v>
      </c>
      <c r="G34" t="s">
        <v>33</v>
      </c>
    </row>
    <row r="35" spans="1:11" x14ac:dyDescent="0.25">
      <c r="A35" t="s">
        <v>100</v>
      </c>
    </row>
    <row r="36" spans="1:11" x14ac:dyDescent="0.25">
      <c r="A36" t="s">
        <v>101</v>
      </c>
      <c r="G36">
        <v>2</v>
      </c>
      <c r="H36">
        <v>1</v>
      </c>
      <c r="K36" t="s">
        <v>284</v>
      </c>
    </row>
    <row r="37" spans="1:11" x14ac:dyDescent="0.25">
      <c r="G37">
        <v>12</v>
      </c>
      <c r="H37">
        <v>4</v>
      </c>
      <c r="K37" t="s">
        <v>285</v>
      </c>
    </row>
    <row r="38" spans="1:11" x14ac:dyDescent="0.25">
      <c r="G38">
        <v>24</v>
      </c>
      <c r="H38">
        <v>16</v>
      </c>
      <c r="K38" t="s">
        <v>286</v>
      </c>
    </row>
    <row r="39" spans="1:11" x14ac:dyDescent="0.25">
      <c r="C39" t="s">
        <v>287</v>
      </c>
      <c r="D39">
        <v>1</v>
      </c>
    </row>
    <row r="40" spans="1:11" x14ac:dyDescent="0.25">
      <c r="C40" t="s">
        <v>288</v>
      </c>
      <c r="D40">
        <v>2</v>
      </c>
    </row>
    <row r="41" spans="1:11" x14ac:dyDescent="0.25">
      <c r="C41" t="s">
        <v>289</v>
      </c>
      <c r="D41">
        <v>4</v>
      </c>
    </row>
    <row r="42" spans="1:11" x14ac:dyDescent="0.25">
      <c r="C42" t="s">
        <v>290</v>
      </c>
      <c r="D42">
        <v>12</v>
      </c>
    </row>
    <row r="43" spans="1:11" x14ac:dyDescent="0.25">
      <c r="C43" t="s">
        <v>291</v>
      </c>
      <c r="D43">
        <v>16</v>
      </c>
    </row>
    <row r="44" spans="1:11" x14ac:dyDescent="0.25">
      <c r="C44" t="s">
        <v>292</v>
      </c>
      <c r="D44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workbookViewId="0">
      <selection activeCell="H29" sqref="H29"/>
    </sheetView>
  </sheetViews>
  <sheetFormatPr defaultRowHeight="15" x14ac:dyDescent="0.25"/>
  <cols>
    <col min="1" max="1" width="22.140625" customWidth="1"/>
  </cols>
  <sheetData>
    <row r="2" spans="1:17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</row>
    <row r="3" spans="1:17" x14ac:dyDescent="0.25">
      <c r="A3" t="s">
        <v>1</v>
      </c>
      <c r="B3" s="3" t="s">
        <v>102</v>
      </c>
      <c r="C3" s="3" t="s">
        <v>103</v>
      </c>
      <c r="D3" s="3" t="s">
        <v>104</v>
      </c>
      <c r="E3" s="3" t="s">
        <v>105</v>
      </c>
      <c r="F3" s="3" t="s">
        <v>106</v>
      </c>
      <c r="G3" s="3" t="s">
        <v>107</v>
      </c>
      <c r="H3" s="3" t="s">
        <v>108</v>
      </c>
      <c r="I3" s="3" t="s">
        <v>109</v>
      </c>
      <c r="J3" s="3" t="s">
        <v>110</v>
      </c>
      <c r="K3" s="3" t="s">
        <v>300</v>
      </c>
      <c r="L3" s="3" t="s">
        <v>111</v>
      </c>
      <c r="M3" s="3" t="s">
        <v>112</v>
      </c>
      <c r="N3" s="3" t="s">
        <v>113</v>
      </c>
      <c r="O3" s="3" t="s">
        <v>114</v>
      </c>
      <c r="P3" s="3" t="s">
        <v>115</v>
      </c>
      <c r="Q3" s="3" t="s">
        <v>116</v>
      </c>
    </row>
    <row r="4" spans="1:17" x14ac:dyDescent="0.25">
      <c r="A4" t="s">
        <v>2</v>
      </c>
      <c r="B4" s="3" t="s">
        <v>102</v>
      </c>
      <c r="C4" s="3" t="s">
        <v>103</v>
      </c>
      <c r="D4" s="3" t="s">
        <v>104</v>
      </c>
      <c r="E4" s="3" t="s">
        <v>105</v>
      </c>
      <c r="F4" s="3" t="s">
        <v>106</v>
      </c>
      <c r="G4" s="3" t="s">
        <v>107</v>
      </c>
      <c r="H4" s="3" t="s">
        <v>108</v>
      </c>
      <c r="I4" s="3" t="s">
        <v>109</v>
      </c>
      <c r="J4" s="3" t="s">
        <v>110</v>
      </c>
      <c r="K4" s="3" t="s">
        <v>300</v>
      </c>
      <c r="L4" s="3" t="s">
        <v>111</v>
      </c>
      <c r="M4" s="3" t="s">
        <v>112</v>
      </c>
      <c r="N4" s="3" t="s">
        <v>113</v>
      </c>
      <c r="O4" s="3" t="s">
        <v>114</v>
      </c>
      <c r="P4" s="3" t="s">
        <v>115</v>
      </c>
      <c r="Q4" s="3" t="s">
        <v>116</v>
      </c>
    </row>
    <row r="5" spans="1:17" x14ac:dyDescent="0.25">
      <c r="A5" t="s">
        <v>3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106</v>
      </c>
      <c r="G5" s="3" t="s">
        <v>107</v>
      </c>
      <c r="H5" s="3" t="s">
        <v>108</v>
      </c>
      <c r="I5" s="3" t="s">
        <v>109</v>
      </c>
      <c r="J5" s="3" t="s">
        <v>110</v>
      </c>
      <c r="K5" s="3" t="s">
        <v>300</v>
      </c>
      <c r="L5" s="3" t="s">
        <v>111</v>
      </c>
      <c r="M5" s="3" t="s">
        <v>112</v>
      </c>
      <c r="N5" s="3" t="s">
        <v>113</v>
      </c>
      <c r="O5" s="3" t="s">
        <v>114</v>
      </c>
      <c r="P5" s="3" t="s">
        <v>115</v>
      </c>
      <c r="Q5" s="3" t="s">
        <v>116</v>
      </c>
    </row>
    <row r="6" spans="1:17" x14ac:dyDescent="0.25">
      <c r="A6" t="s">
        <v>4</v>
      </c>
      <c r="B6" s="3" t="s">
        <v>102</v>
      </c>
      <c r="C6" s="3" t="s">
        <v>103</v>
      </c>
      <c r="D6" s="3" t="s">
        <v>104</v>
      </c>
      <c r="E6" s="3" t="s">
        <v>105</v>
      </c>
      <c r="F6" s="3" t="s">
        <v>106</v>
      </c>
      <c r="G6" s="3" t="s">
        <v>107</v>
      </c>
      <c r="H6" s="3" t="s">
        <v>108</v>
      </c>
      <c r="I6" s="3" t="s">
        <v>109</v>
      </c>
      <c r="J6" s="3" t="s">
        <v>110</v>
      </c>
      <c r="K6" s="3" t="s">
        <v>300</v>
      </c>
      <c r="L6" s="3" t="s">
        <v>111</v>
      </c>
      <c r="M6" s="3" t="s">
        <v>112</v>
      </c>
      <c r="N6" s="3" t="s">
        <v>113</v>
      </c>
      <c r="O6" s="3" t="s">
        <v>114</v>
      </c>
      <c r="P6" s="3" t="s">
        <v>115</v>
      </c>
      <c r="Q6" s="3" t="s">
        <v>116</v>
      </c>
    </row>
    <row r="7" spans="1:17" x14ac:dyDescent="0.25">
      <c r="A7" t="s">
        <v>5</v>
      </c>
      <c r="B7" s="3" t="s">
        <v>102</v>
      </c>
      <c r="C7" s="3" t="s">
        <v>103</v>
      </c>
      <c r="D7" s="3" t="s">
        <v>104</v>
      </c>
      <c r="E7" s="3" t="s">
        <v>105</v>
      </c>
      <c r="F7" s="3" t="s">
        <v>106</v>
      </c>
      <c r="G7" s="3" t="s">
        <v>107</v>
      </c>
      <c r="H7" s="3" t="s">
        <v>108</v>
      </c>
      <c r="I7" s="3" t="s">
        <v>109</v>
      </c>
      <c r="J7" s="3" t="s">
        <v>110</v>
      </c>
      <c r="K7" s="3" t="s">
        <v>300</v>
      </c>
      <c r="L7" s="3" t="s">
        <v>111</v>
      </c>
      <c r="M7" s="3" t="s">
        <v>112</v>
      </c>
      <c r="N7" s="3" t="s">
        <v>113</v>
      </c>
      <c r="O7" s="3" t="s">
        <v>114</v>
      </c>
      <c r="P7" s="3" t="s">
        <v>115</v>
      </c>
      <c r="Q7" s="3" t="s">
        <v>116</v>
      </c>
    </row>
    <row r="8" spans="1:17" x14ac:dyDescent="0.25">
      <c r="A8" t="s">
        <v>6</v>
      </c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 t="s">
        <v>109</v>
      </c>
      <c r="J8" s="3" t="s">
        <v>110</v>
      </c>
      <c r="K8" s="3" t="s">
        <v>300</v>
      </c>
      <c r="L8" s="3" t="s">
        <v>111</v>
      </c>
      <c r="M8" s="3" t="s">
        <v>112</v>
      </c>
      <c r="N8" s="3" t="s">
        <v>113</v>
      </c>
      <c r="O8" s="3" t="s">
        <v>114</v>
      </c>
      <c r="P8" s="3" t="s">
        <v>115</v>
      </c>
      <c r="Q8" s="3" t="s">
        <v>116</v>
      </c>
    </row>
    <row r="9" spans="1:17" x14ac:dyDescent="0.25">
      <c r="A9" t="s">
        <v>7</v>
      </c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 t="s">
        <v>109</v>
      </c>
      <c r="J9" s="3" t="s">
        <v>110</v>
      </c>
      <c r="K9" s="3" t="s">
        <v>300</v>
      </c>
      <c r="L9" s="3" t="s">
        <v>111</v>
      </c>
      <c r="M9" s="3" t="s">
        <v>112</v>
      </c>
      <c r="N9" s="3" t="s">
        <v>113</v>
      </c>
      <c r="O9" s="3" t="s">
        <v>114</v>
      </c>
      <c r="P9" s="3" t="s">
        <v>115</v>
      </c>
      <c r="Q9" s="3" t="s">
        <v>116</v>
      </c>
    </row>
    <row r="10" spans="1:17" x14ac:dyDescent="0.25">
      <c r="A10" t="s">
        <v>8</v>
      </c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 t="s">
        <v>124</v>
      </c>
      <c r="J10" s="3" t="s">
        <v>125</v>
      </c>
      <c r="K10" s="3" t="s">
        <v>301</v>
      </c>
      <c r="L10" s="3" t="s">
        <v>126</v>
      </c>
      <c r="M10" s="3" t="s">
        <v>127</v>
      </c>
      <c r="N10" s="3" t="s">
        <v>128</v>
      </c>
      <c r="O10" s="3" t="s">
        <v>129</v>
      </c>
      <c r="P10" s="3" t="s">
        <v>130</v>
      </c>
      <c r="Q10" s="3" t="s">
        <v>131</v>
      </c>
    </row>
    <row r="11" spans="1:17" x14ac:dyDescent="0.25">
      <c r="A11" t="s">
        <v>9</v>
      </c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 t="s">
        <v>124</v>
      </c>
      <c r="J11" s="3" t="s">
        <v>125</v>
      </c>
      <c r="K11" s="3" t="s">
        <v>301</v>
      </c>
      <c r="L11" s="3" t="s">
        <v>126</v>
      </c>
      <c r="M11" s="3" t="s">
        <v>127</v>
      </c>
      <c r="N11" s="3" t="s">
        <v>128</v>
      </c>
      <c r="O11" s="3" t="s">
        <v>129</v>
      </c>
      <c r="P11" s="3" t="s">
        <v>130</v>
      </c>
      <c r="Q11" s="3" t="s">
        <v>131</v>
      </c>
    </row>
    <row r="12" spans="1:17" x14ac:dyDescent="0.25">
      <c r="A12" t="s">
        <v>10</v>
      </c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 t="s">
        <v>124</v>
      </c>
      <c r="J12" s="3" t="s">
        <v>125</v>
      </c>
      <c r="K12" s="3" t="s">
        <v>301</v>
      </c>
      <c r="L12" s="3" t="s">
        <v>126</v>
      </c>
      <c r="M12" s="3" t="s">
        <v>127</v>
      </c>
      <c r="N12" s="3" t="s">
        <v>128</v>
      </c>
      <c r="O12" s="3" t="s">
        <v>129</v>
      </c>
      <c r="P12" s="3" t="s">
        <v>130</v>
      </c>
      <c r="Q12" s="3" t="s">
        <v>131</v>
      </c>
    </row>
    <row r="13" spans="1:17" x14ac:dyDescent="0.25">
      <c r="A13" t="s">
        <v>11</v>
      </c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 t="s">
        <v>124</v>
      </c>
      <c r="J13" s="3" t="s">
        <v>125</v>
      </c>
      <c r="K13" s="3" t="s">
        <v>301</v>
      </c>
      <c r="L13" s="3" t="s">
        <v>126</v>
      </c>
      <c r="M13" s="3" t="s">
        <v>127</v>
      </c>
      <c r="N13" s="3" t="s">
        <v>128</v>
      </c>
      <c r="O13" s="3" t="s">
        <v>129</v>
      </c>
      <c r="P13" s="3" t="s">
        <v>130</v>
      </c>
      <c r="Q13" s="3" t="s">
        <v>131</v>
      </c>
    </row>
    <row r="14" spans="1:17" x14ac:dyDescent="0.25">
      <c r="A14" t="s">
        <v>12</v>
      </c>
      <c r="B14" s="3" t="s">
        <v>132</v>
      </c>
      <c r="C14" s="3" t="s">
        <v>133</v>
      </c>
      <c r="D14" s="3" t="s">
        <v>134</v>
      </c>
      <c r="E14" s="3" t="s">
        <v>135</v>
      </c>
      <c r="F14" s="3" t="s">
        <v>136</v>
      </c>
      <c r="G14" s="3" t="s">
        <v>137</v>
      </c>
      <c r="H14" s="3" t="s">
        <v>138</v>
      </c>
      <c r="I14" s="3" t="s">
        <v>139</v>
      </c>
      <c r="J14" s="3" t="s">
        <v>140</v>
      </c>
      <c r="K14" s="3" t="s">
        <v>302</v>
      </c>
      <c r="L14" s="3" t="s">
        <v>141</v>
      </c>
      <c r="M14" s="3" t="s">
        <v>142</v>
      </c>
      <c r="N14" s="3" t="s">
        <v>143</v>
      </c>
      <c r="O14" s="3" t="s">
        <v>144</v>
      </c>
      <c r="P14" s="3" t="s">
        <v>145</v>
      </c>
      <c r="Q14" s="3" t="s">
        <v>146</v>
      </c>
    </row>
    <row r="15" spans="1:17" x14ac:dyDescent="0.25">
      <c r="A15" t="s">
        <v>13</v>
      </c>
      <c r="B15" s="3" t="s">
        <v>132</v>
      </c>
      <c r="C15" s="3" t="s">
        <v>133</v>
      </c>
      <c r="D15" s="3" t="s">
        <v>134</v>
      </c>
      <c r="E15" s="3" t="s">
        <v>135</v>
      </c>
      <c r="F15" s="3" t="s">
        <v>136</v>
      </c>
      <c r="G15" s="3" t="s">
        <v>137</v>
      </c>
      <c r="H15" s="3" t="s">
        <v>138</v>
      </c>
      <c r="I15" s="3" t="s">
        <v>139</v>
      </c>
      <c r="J15" s="3" t="s">
        <v>140</v>
      </c>
      <c r="K15" s="3" t="s">
        <v>302</v>
      </c>
      <c r="L15" s="3" t="s">
        <v>141</v>
      </c>
      <c r="M15" s="3" t="s">
        <v>142</v>
      </c>
      <c r="N15" s="3" t="s">
        <v>143</v>
      </c>
      <c r="O15" s="3" t="s">
        <v>144</v>
      </c>
      <c r="P15" s="3" t="s">
        <v>145</v>
      </c>
      <c r="Q15" s="3" t="s">
        <v>146</v>
      </c>
    </row>
    <row r="16" spans="1:17" x14ac:dyDescent="0.25">
      <c r="A16" t="s">
        <v>14</v>
      </c>
      <c r="B16" s="3" t="s">
        <v>147</v>
      </c>
      <c r="C16" s="3" t="s">
        <v>148</v>
      </c>
      <c r="D16" s="3" t="s">
        <v>149</v>
      </c>
      <c r="E16" s="3" t="s">
        <v>150</v>
      </c>
      <c r="F16" s="3" t="s">
        <v>151</v>
      </c>
      <c r="G16" s="3" t="s">
        <v>152</v>
      </c>
      <c r="H16" s="3" t="s">
        <v>153</v>
      </c>
      <c r="I16" s="3" t="s">
        <v>154</v>
      </c>
      <c r="J16" s="3" t="s">
        <v>155</v>
      </c>
      <c r="K16" s="3" t="s">
        <v>303</v>
      </c>
      <c r="L16" s="3" t="s">
        <v>156</v>
      </c>
      <c r="M16" s="3" t="s">
        <v>157</v>
      </c>
      <c r="N16" s="3" t="s">
        <v>158</v>
      </c>
      <c r="O16" s="3" t="s">
        <v>159</v>
      </c>
      <c r="P16" s="3" t="s">
        <v>160</v>
      </c>
      <c r="Q16" s="3" t="s">
        <v>161</v>
      </c>
    </row>
    <row r="17" spans="1:17" x14ac:dyDescent="0.25">
      <c r="A17" t="s">
        <v>15</v>
      </c>
      <c r="B17" s="3" t="s">
        <v>162</v>
      </c>
      <c r="C17" s="3" t="s">
        <v>163</v>
      </c>
      <c r="D17" s="3" t="s">
        <v>164</v>
      </c>
      <c r="E17" s="3" t="s">
        <v>165</v>
      </c>
      <c r="F17" s="3" t="s">
        <v>166</v>
      </c>
      <c r="G17" s="3" t="s">
        <v>167</v>
      </c>
      <c r="H17" s="3" t="s">
        <v>168</v>
      </c>
      <c r="I17" s="3" t="s">
        <v>169</v>
      </c>
      <c r="J17" s="3" t="s">
        <v>170</v>
      </c>
      <c r="K17" s="3" t="s">
        <v>304</v>
      </c>
      <c r="L17" s="3" t="s">
        <v>171</v>
      </c>
      <c r="M17" s="3" t="s">
        <v>172</v>
      </c>
      <c r="N17" s="3" t="s">
        <v>173</v>
      </c>
      <c r="O17" s="3" t="s">
        <v>174</v>
      </c>
      <c r="P17" s="3" t="s">
        <v>175</v>
      </c>
      <c r="Q17" s="3" t="s">
        <v>176</v>
      </c>
    </row>
    <row r="18" spans="1:17" x14ac:dyDescent="0.25">
      <c r="A18" t="s">
        <v>16</v>
      </c>
      <c r="B18" s="3" t="s">
        <v>162</v>
      </c>
      <c r="C18" s="3" t="s">
        <v>163</v>
      </c>
      <c r="D18" s="3" t="s">
        <v>164</v>
      </c>
      <c r="E18" s="3" t="s">
        <v>165</v>
      </c>
      <c r="F18" s="3" t="s">
        <v>166</v>
      </c>
      <c r="G18" s="3" t="s">
        <v>167</v>
      </c>
      <c r="H18" s="3" t="s">
        <v>168</v>
      </c>
      <c r="I18" s="3" t="s">
        <v>169</v>
      </c>
      <c r="J18" s="3" t="s">
        <v>170</v>
      </c>
      <c r="K18" s="3" t="s">
        <v>304</v>
      </c>
      <c r="L18" s="3" t="s">
        <v>171</v>
      </c>
      <c r="M18" s="3" t="s">
        <v>172</v>
      </c>
      <c r="N18" s="3" t="s">
        <v>173</v>
      </c>
      <c r="O18" s="3" t="s">
        <v>174</v>
      </c>
      <c r="P18" s="3" t="s">
        <v>175</v>
      </c>
      <c r="Q18" s="3" t="s">
        <v>176</v>
      </c>
    </row>
    <row r="19" spans="1:17" x14ac:dyDescent="0.25">
      <c r="A19" t="s">
        <v>17</v>
      </c>
      <c r="B19" s="3" t="s">
        <v>177</v>
      </c>
      <c r="C19" s="3" t="s">
        <v>178</v>
      </c>
      <c r="D19" s="3" t="s">
        <v>179</v>
      </c>
      <c r="E19" s="3" t="s">
        <v>180</v>
      </c>
      <c r="F19" s="3" t="s">
        <v>181</v>
      </c>
      <c r="G19" s="3" t="s">
        <v>182</v>
      </c>
      <c r="H19" s="3" t="s">
        <v>183</v>
      </c>
      <c r="I19" s="3" t="s">
        <v>184</v>
      </c>
      <c r="J19" s="3" t="s">
        <v>185</v>
      </c>
      <c r="K19" s="3" t="s">
        <v>305</v>
      </c>
      <c r="L19" s="3" t="s">
        <v>186</v>
      </c>
      <c r="M19" s="3" t="s">
        <v>187</v>
      </c>
      <c r="N19" s="3" t="s">
        <v>188</v>
      </c>
      <c r="O19" s="3" t="s">
        <v>189</v>
      </c>
      <c r="P19" s="3" t="s">
        <v>190</v>
      </c>
      <c r="Q19" s="3" t="s">
        <v>191</v>
      </c>
    </row>
    <row r="20" spans="1:17" x14ac:dyDescent="0.25">
      <c r="A20" t="s">
        <v>18</v>
      </c>
      <c r="B20" s="3" t="s">
        <v>177</v>
      </c>
      <c r="C20" s="3" t="s">
        <v>178</v>
      </c>
      <c r="D20" s="3" t="s">
        <v>179</v>
      </c>
      <c r="E20" s="3" t="s">
        <v>180</v>
      </c>
      <c r="F20" s="3" t="s">
        <v>181</v>
      </c>
      <c r="G20" s="3" t="s">
        <v>182</v>
      </c>
      <c r="H20" s="3" t="s">
        <v>183</v>
      </c>
      <c r="I20" s="3" t="s">
        <v>184</v>
      </c>
      <c r="J20" s="3" t="s">
        <v>185</v>
      </c>
      <c r="K20" s="3" t="s">
        <v>305</v>
      </c>
      <c r="L20" s="3" t="s">
        <v>186</v>
      </c>
      <c r="M20" s="3" t="s">
        <v>187</v>
      </c>
      <c r="N20" s="3" t="s">
        <v>188</v>
      </c>
      <c r="O20" s="3" t="s">
        <v>189</v>
      </c>
      <c r="P20" s="3" t="s">
        <v>190</v>
      </c>
      <c r="Q20" s="3" t="s">
        <v>191</v>
      </c>
    </row>
    <row r="21" spans="1:17" x14ac:dyDescent="0.25">
      <c r="A21" t="s">
        <v>19</v>
      </c>
      <c r="B21" s="3" t="s">
        <v>177</v>
      </c>
      <c r="C21" s="3" t="s">
        <v>178</v>
      </c>
      <c r="D21" s="3" t="s">
        <v>179</v>
      </c>
      <c r="E21" s="3" t="s">
        <v>180</v>
      </c>
      <c r="F21" s="3" t="s">
        <v>181</v>
      </c>
      <c r="G21" s="3" t="s">
        <v>182</v>
      </c>
      <c r="H21" s="3" t="s">
        <v>183</v>
      </c>
      <c r="I21" s="3" t="s">
        <v>184</v>
      </c>
      <c r="J21" s="3" t="s">
        <v>185</v>
      </c>
      <c r="K21" s="3" t="s">
        <v>305</v>
      </c>
      <c r="L21" s="3" t="s">
        <v>186</v>
      </c>
      <c r="M21" s="3" t="s">
        <v>187</v>
      </c>
      <c r="N21" s="3" t="s">
        <v>188</v>
      </c>
      <c r="O21" s="3" t="s">
        <v>189</v>
      </c>
      <c r="P21" s="3" t="s">
        <v>190</v>
      </c>
      <c r="Q21" s="3" t="s">
        <v>191</v>
      </c>
    </row>
    <row r="22" spans="1:17" x14ac:dyDescent="0.25">
      <c r="A22" t="s">
        <v>20</v>
      </c>
      <c r="B22" s="3" t="s">
        <v>177</v>
      </c>
      <c r="C22" s="3" t="s">
        <v>178</v>
      </c>
      <c r="D22" s="3" t="s">
        <v>179</v>
      </c>
      <c r="E22" s="3" t="s">
        <v>180</v>
      </c>
      <c r="F22" s="3" t="s">
        <v>181</v>
      </c>
      <c r="G22" s="3" t="s">
        <v>182</v>
      </c>
      <c r="H22" s="3" t="s">
        <v>183</v>
      </c>
      <c r="I22" s="3" t="s">
        <v>184</v>
      </c>
      <c r="J22" s="3" t="s">
        <v>185</v>
      </c>
      <c r="K22" s="3" t="s">
        <v>305</v>
      </c>
      <c r="L22" s="3" t="s">
        <v>186</v>
      </c>
      <c r="M22" s="3" t="s">
        <v>187</v>
      </c>
      <c r="N22" s="3" t="s">
        <v>188</v>
      </c>
      <c r="O22" s="3" t="s">
        <v>189</v>
      </c>
      <c r="P22" s="3" t="s">
        <v>190</v>
      </c>
      <c r="Q22" s="3" t="s">
        <v>191</v>
      </c>
    </row>
    <row r="23" spans="1:17" x14ac:dyDescent="0.25">
      <c r="A23" t="s">
        <v>21</v>
      </c>
      <c r="B23" s="3" t="s">
        <v>177</v>
      </c>
      <c r="C23" s="3" t="s">
        <v>178</v>
      </c>
      <c r="D23" s="3" t="s">
        <v>179</v>
      </c>
      <c r="E23" s="3" t="s">
        <v>180</v>
      </c>
      <c r="F23" s="3" t="s">
        <v>181</v>
      </c>
      <c r="G23" s="3" t="s">
        <v>182</v>
      </c>
      <c r="H23" s="3" t="s">
        <v>183</v>
      </c>
      <c r="I23" s="3" t="s">
        <v>184</v>
      </c>
      <c r="J23" s="3" t="s">
        <v>185</v>
      </c>
      <c r="K23" s="3" t="s">
        <v>305</v>
      </c>
      <c r="L23" s="3" t="s">
        <v>186</v>
      </c>
      <c r="M23" s="3" t="s">
        <v>187</v>
      </c>
      <c r="N23" s="3" t="s">
        <v>188</v>
      </c>
      <c r="O23" s="3" t="s">
        <v>189</v>
      </c>
      <c r="P23" s="3" t="s">
        <v>190</v>
      </c>
      <c r="Q23" s="3" t="s">
        <v>191</v>
      </c>
    </row>
    <row r="24" spans="1:17" x14ac:dyDescent="0.25">
      <c r="A24" t="s">
        <v>22</v>
      </c>
      <c r="B24" s="3" t="s">
        <v>102</v>
      </c>
      <c r="C24" s="3" t="s">
        <v>103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  <c r="K24" s="3" t="s">
        <v>300</v>
      </c>
      <c r="L24" s="3" t="s">
        <v>111</v>
      </c>
      <c r="M24" s="3" t="s">
        <v>112</v>
      </c>
      <c r="N24" s="3" t="s">
        <v>113</v>
      </c>
      <c r="O24" s="3" t="s">
        <v>114</v>
      </c>
      <c r="P24" s="3" t="s">
        <v>115</v>
      </c>
      <c r="Q24" s="3" t="s">
        <v>116</v>
      </c>
    </row>
    <row r="25" spans="1:17" x14ac:dyDescent="0.25">
      <c r="A25" t="s">
        <v>23</v>
      </c>
      <c r="B25" s="3" t="s">
        <v>102</v>
      </c>
      <c r="C25" s="3" t="s">
        <v>103</v>
      </c>
      <c r="D25" s="3" t="s">
        <v>104</v>
      </c>
      <c r="E25" s="3" t="s">
        <v>105</v>
      </c>
      <c r="F25" s="3" t="s">
        <v>106</v>
      </c>
      <c r="G25" s="3" t="s">
        <v>107</v>
      </c>
      <c r="H25" s="3" t="s">
        <v>108</v>
      </c>
      <c r="I25" s="3" t="s">
        <v>109</v>
      </c>
      <c r="J25" s="3" t="s">
        <v>110</v>
      </c>
      <c r="K25" s="3" t="s">
        <v>300</v>
      </c>
      <c r="L25" s="3" t="s">
        <v>111</v>
      </c>
      <c r="M25" s="3" t="s">
        <v>112</v>
      </c>
      <c r="N25" s="3" t="s">
        <v>113</v>
      </c>
      <c r="O25" s="3" t="s">
        <v>114</v>
      </c>
      <c r="P25" s="3" t="s">
        <v>115</v>
      </c>
      <c r="Q25" s="3" t="s">
        <v>116</v>
      </c>
    </row>
    <row r="26" spans="1:17" x14ac:dyDescent="0.25">
      <c r="A26" t="s">
        <v>24</v>
      </c>
      <c r="B26" s="3" t="s">
        <v>102</v>
      </c>
      <c r="C26" s="3" t="s">
        <v>103</v>
      </c>
      <c r="D26" s="3" t="s">
        <v>104</v>
      </c>
      <c r="E26" s="3" t="s">
        <v>105</v>
      </c>
      <c r="F26" s="3" t="s">
        <v>106</v>
      </c>
      <c r="G26" s="3" t="s">
        <v>107</v>
      </c>
      <c r="H26" s="3" t="s">
        <v>108</v>
      </c>
      <c r="I26" s="3" t="s">
        <v>109</v>
      </c>
      <c r="J26" s="3" t="s">
        <v>110</v>
      </c>
      <c r="K26" s="3" t="s">
        <v>300</v>
      </c>
      <c r="L26" s="3" t="s">
        <v>111</v>
      </c>
      <c r="M26" s="3" t="s">
        <v>112</v>
      </c>
      <c r="N26" s="3" t="s">
        <v>113</v>
      </c>
      <c r="O26" s="3" t="s">
        <v>114</v>
      </c>
      <c r="P26" s="3" t="s">
        <v>115</v>
      </c>
      <c r="Q26" s="3" t="s">
        <v>116</v>
      </c>
    </row>
    <row r="27" spans="1:17" x14ac:dyDescent="0.25">
      <c r="A27" t="s">
        <v>25</v>
      </c>
      <c r="B27" s="3" t="s">
        <v>102</v>
      </c>
      <c r="C27" s="3" t="s">
        <v>103</v>
      </c>
      <c r="D27" s="3" t="s">
        <v>104</v>
      </c>
      <c r="E27" s="3" t="s">
        <v>105</v>
      </c>
      <c r="F27" s="3" t="s">
        <v>106</v>
      </c>
      <c r="G27" s="3" t="s">
        <v>107</v>
      </c>
      <c r="H27" s="3" t="s">
        <v>108</v>
      </c>
      <c r="I27" s="3" t="s">
        <v>109</v>
      </c>
      <c r="J27" s="3" t="s">
        <v>110</v>
      </c>
      <c r="K27" s="3" t="s">
        <v>300</v>
      </c>
      <c r="L27" s="3" t="s">
        <v>111</v>
      </c>
      <c r="M27" s="3" t="s">
        <v>112</v>
      </c>
      <c r="N27" s="3" t="s">
        <v>113</v>
      </c>
      <c r="O27" s="3" t="s">
        <v>114</v>
      </c>
      <c r="P27" s="3" t="s">
        <v>115</v>
      </c>
      <c r="Q27" s="3" t="s">
        <v>116</v>
      </c>
    </row>
    <row r="28" spans="1:17" x14ac:dyDescent="0.25">
      <c r="A28" t="s">
        <v>26</v>
      </c>
      <c r="B28" s="3" t="s">
        <v>192</v>
      </c>
      <c r="C28" s="3" t="s">
        <v>193</v>
      </c>
      <c r="D28" s="3" t="s">
        <v>194</v>
      </c>
      <c r="E28" s="3" t="s">
        <v>195</v>
      </c>
      <c r="F28" s="3" t="s">
        <v>196</v>
      </c>
      <c r="G28" s="3" t="s">
        <v>197</v>
      </c>
      <c r="H28" s="3" t="s">
        <v>198</v>
      </c>
      <c r="I28" s="3" t="s">
        <v>199</v>
      </c>
      <c r="J28" s="3" t="s">
        <v>200</v>
      </c>
      <c r="K28" s="3" t="s">
        <v>306</v>
      </c>
      <c r="L28" s="3" t="s">
        <v>201</v>
      </c>
      <c r="M28" s="3" t="s">
        <v>202</v>
      </c>
      <c r="N28" s="3" t="s">
        <v>203</v>
      </c>
      <c r="O28" s="3" t="s">
        <v>204</v>
      </c>
      <c r="P28" s="3" t="s">
        <v>205</v>
      </c>
      <c r="Q28" s="3" t="s">
        <v>206</v>
      </c>
    </row>
    <row r="29" spans="1:17" x14ac:dyDescent="0.25">
      <c r="A29" t="s">
        <v>27</v>
      </c>
      <c r="B29" s="3" t="s">
        <v>192</v>
      </c>
      <c r="C29" s="3" t="s">
        <v>193</v>
      </c>
      <c r="D29" s="3" t="s">
        <v>194</v>
      </c>
      <c r="E29" s="3" t="s">
        <v>195</v>
      </c>
      <c r="F29" s="3" t="s">
        <v>196</v>
      </c>
      <c r="G29" s="3" t="s">
        <v>197</v>
      </c>
      <c r="H29" s="3" t="s">
        <v>198</v>
      </c>
      <c r="I29" s="3" t="s">
        <v>199</v>
      </c>
      <c r="J29" s="3" t="s">
        <v>200</v>
      </c>
      <c r="K29" s="3" t="s">
        <v>306</v>
      </c>
      <c r="L29" s="3" t="s">
        <v>201</v>
      </c>
      <c r="M29" s="3" t="s">
        <v>202</v>
      </c>
      <c r="N29" s="3" t="s">
        <v>203</v>
      </c>
      <c r="O29" s="3" t="s">
        <v>204</v>
      </c>
      <c r="P29" s="3" t="s">
        <v>205</v>
      </c>
      <c r="Q29" s="3" t="s">
        <v>206</v>
      </c>
    </row>
    <row r="30" spans="1:17" x14ac:dyDescent="0.25">
      <c r="A30" t="s">
        <v>28</v>
      </c>
      <c r="B30" s="3" t="s">
        <v>207</v>
      </c>
      <c r="C30" s="3" t="s">
        <v>208</v>
      </c>
      <c r="D30" s="3" t="s">
        <v>209</v>
      </c>
      <c r="E30" s="3" t="s">
        <v>210</v>
      </c>
      <c r="F30" s="3" t="s">
        <v>211</v>
      </c>
      <c r="G30" s="3" t="s">
        <v>212</v>
      </c>
      <c r="H30" s="3" t="s">
        <v>213</v>
      </c>
      <c r="I30" s="3" t="s">
        <v>214</v>
      </c>
      <c r="J30" s="3" t="s">
        <v>215</v>
      </c>
      <c r="K30" s="3" t="s">
        <v>307</v>
      </c>
      <c r="L30" s="3" t="s">
        <v>216</v>
      </c>
      <c r="M30" s="3" t="s">
        <v>217</v>
      </c>
      <c r="N30" s="3" t="s">
        <v>218</v>
      </c>
      <c r="O30" s="3" t="s">
        <v>219</v>
      </c>
      <c r="P30" s="3" t="s">
        <v>220</v>
      </c>
      <c r="Q30" s="3" t="s">
        <v>221</v>
      </c>
    </row>
    <row r="31" spans="1:17" x14ac:dyDescent="0.25">
      <c r="A31" t="s">
        <v>29</v>
      </c>
      <c r="B31" s="3" t="s">
        <v>222</v>
      </c>
      <c r="C31" s="3" t="s">
        <v>223</v>
      </c>
      <c r="D31" s="3" t="s">
        <v>224</v>
      </c>
      <c r="E31" s="3" t="s">
        <v>225</v>
      </c>
      <c r="F31" s="3" t="s">
        <v>226</v>
      </c>
      <c r="G31" s="3" t="s">
        <v>227</v>
      </c>
      <c r="H31" s="3" t="s">
        <v>228</v>
      </c>
      <c r="I31" s="3" t="s">
        <v>229</v>
      </c>
      <c r="J31" s="3" t="s">
        <v>230</v>
      </c>
      <c r="K31" s="3" t="s">
        <v>308</v>
      </c>
      <c r="L31" s="3" t="s">
        <v>231</v>
      </c>
      <c r="M31" s="3" t="s">
        <v>232</v>
      </c>
      <c r="N31" s="3" t="s">
        <v>233</v>
      </c>
      <c r="O31" s="3" t="s">
        <v>234</v>
      </c>
      <c r="P31" s="3" t="s">
        <v>235</v>
      </c>
      <c r="Q31" s="3" t="s">
        <v>236</v>
      </c>
    </row>
    <row r="32" spans="1:17" x14ac:dyDescent="0.25">
      <c r="A32" t="s">
        <v>30</v>
      </c>
      <c r="B32" s="3" t="s">
        <v>102</v>
      </c>
      <c r="C32" s="3" t="s">
        <v>103</v>
      </c>
      <c r="D32" s="3" t="s">
        <v>104</v>
      </c>
      <c r="E32" s="3" t="s">
        <v>105</v>
      </c>
      <c r="F32" s="3" t="s">
        <v>106</v>
      </c>
      <c r="G32" s="3" t="s">
        <v>107</v>
      </c>
      <c r="H32" s="3" t="s">
        <v>108</v>
      </c>
      <c r="I32" s="3" t="s">
        <v>109</v>
      </c>
      <c r="J32" s="3" t="s">
        <v>110</v>
      </c>
      <c r="K32" s="3" t="s">
        <v>300</v>
      </c>
      <c r="L32" s="3" t="s">
        <v>111</v>
      </c>
      <c r="M32" s="3" t="s">
        <v>112</v>
      </c>
      <c r="N32" s="3" t="s">
        <v>113</v>
      </c>
      <c r="O32" s="3" t="s">
        <v>114</v>
      </c>
      <c r="P32" s="3" t="s">
        <v>115</v>
      </c>
      <c r="Q32" s="3" t="s">
        <v>116</v>
      </c>
    </row>
    <row r="33" spans="1:17" x14ac:dyDescent="0.25">
      <c r="A33" t="s">
        <v>31</v>
      </c>
      <c r="B33" s="3" t="s">
        <v>102</v>
      </c>
      <c r="C33" s="3" t="s">
        <v>103</v>
      </c>
      <c r="D33" s="3" t="s">
        <v>104</v>
      </c>
      <c r="E33" s="3" t="s">
        <v>105</v>
      </c>
      <c r="F33" s="3" t="s">
        <v>106</v>
      </c>
      <c r="G33" s="3" t="s">
        <v>107</v>
      </c>
      <c r="H33" s="3" t="s">
        <v>108</v>
      </c>
      <c r="I33" s="3" t="s">
        <v>109</v>
      </c>
      <c r="J33" s="3" t="s">
        <v>110</v>
      </c>
      <c r="K33" s="3" t="s">
        <v>300</v>
      </c>
      <c r="L33" s="3" t="s">
        <v>111</v>
      </c>
      <c r="M33" s="3" t="s">
        <v>112</v>
      </c>
      <c r="N33" s="3" t="s">
        <v>113</v>
      </c>
      <c r="O33" s="3" t="s">
        <v>114</v>
      </c>
      <c r="P33" s="3" t="s">
        <v>115</v>
      </c>
      <c r="Q33" s="3" t="s">
        <v>116</v>
      </c>
    </row>
    <row r="34" spans="1:17" x14ac:dyDescent="0.25">
      <c r="A34" t="s">
        <v>32</v>
      </c>
      <c r="B34" s="3" t="s">
        <v>237</v>
      </c>
      <c r="C34" s="3" t="s">
        <v>238</v>
      </c>
      <c r="D34" s="3" t="s">
        <v>239</v>
      </c>
      <c r="E34" s="3" t="s">
        <v>240</v>
      </c>
      <c r="F34" s="3" t="s">
        <v>241</v>
      </c>
      <c r="G34" s="3" t="s">
        <v>242</v>
      </c>
      <c r="H34" s="3" t="s">
        <v>243</v>
      </c>
      <c r="I34" s="3" t="s">
        <v>244</v>
      </c>
      <c r="J34" s="3" t="s">
        <v>245</v>
      </c>
      <c r="K34" s="3" t="s">
        <v>309</v>
      </c>
      <c r="L34" s="3" t="s">
        <v>246</v>
      </c>
      <c r="M34" s="3" t="s">
        <v>247</v>
      </c>
      <c r="N34" s="3" t="s">
        <v>248</v>
      </c>
      <c r="O34" s="3" t="s">
        <v>249</v>
      </c>
      <c r="P34" s="3" t="s">
        <v>250</v>
      </c>
      <c r="Q34" s="3" t="s">
        <v>251</v>
      </c>
    </row>
    <row r="35" spans="1:17" x14ac:dyDescent="0.25">
      <c r="A35" t="s">
        <v>33</v>
      </c>
      <c r="B35" s="3" t="s">
        <v>102</v>
      </c>
      <c r="C35" s="3" t="s">
        <v>103</v>
      </c>
      <c r="D35" s="3" t="s">
        <v>104</v>
      </c>
      <c r="E35" s="3" t="s">
        <v>105</v>
      </c>
      <c r="F35" s="3" t="s">
        <v>106</v>
      </c>
      <c r="G35" s="3" t="s">
        <v>107</v>
      </c>
      <c r="H35" s="3" t="s">
        <v>108</v>
      </c>
      <c r="I35" s="3" t="s">
        <v>109</v>
      </c>
      <c r="J35" s="3" t="s">
        <v>110</v>
      </c>
      <c r="K35" s="3" t="s">
        <v>300</v>
      </c>
      <c r="L35" s="3" t="s">
        <v>111</v>
      </c>
      <c r="M35" s="3" t="s">
        <v>112</v>
      </c>
      <c r="N35" s="3" t="s">
        <v>113</v>
      </c>
      <c r="O35" s="3" t="s">
        <v>114</v>
      </c>
      <c r="P35" s="3" t="s">
        <v>115</v>
      </c>
      <c r="Q35" s="3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D34" sqref="D34"/>
    </sheetView>
  </sheetViews>
  <sheetFormatPr defaultRowHeight="15" x14ac:dyDescent="0.25"/>
  <cols>
    <col min="1" max="1" width="35.7109375" bestFit="1" customWidth="1"/>
    <col min="2" max="4" width="13.5703125" bestFit="1" customWidth="1"/>
  </cols>
  <sheetData>
    <row r="1" spans="1:17" x14ac:dyDescent="0.25">
      <c r="B1" t="s">
        <v>284</v>
      </c>
      <c r="C1" t="s">
        <v>285</v>
      </c>
      <c r="D1" t="s">
        <v>286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t="s">
        <v>1</v>
      </c>
      <c r="B2" s="5" t="s">
        <v>279</v>
      </c>
      <c r="C2" s="5" t="s">
        <v>280</v>
      </c>
      <c r="D2" s="6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t="s">
        <v>2</v>
      </c>
      <c r="B3" s="5" t="s">
        <v>279</v>
      </c>
      <c r="C3" s="5" t="s">
        <v>280</v>
      </c>
      <c r="D3" s="6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t="s">
        <v>3</v>
      </c>
      <c r="B4" s="5" t="s">
        <v>279</v>
      </c>
      <c r="C4" s="5" t="s">
        <v>280</v>
      </c>
      <c r="D4" s="6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t="s">
        <v>4</v>
      </c>
      <c r="B5" s="5" t="s">
        <v>279</v>
      </c>
      <c r="C5" s="5" t="s">
        <v>280</v>
      </c>
      <c r="D5" s="6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t="s">
        <v>5</v>
      </c>
      <c r="B6" s="5" t="s">
        <v>279</v>
      </c>
      <c r="C6" s="5" t="s">
        <v>280</v>
      </c>
      <c r="D6" s="6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t="s">
        <v>6</v>
      </c>
      <c r="B7" s="5" t="s">
        <v>279</v>
      </c>
      <c r="C7" s="5" t="s">
        <v>280</v>
      </c>
      <c r="D7" s="6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t="s">
        <v>7</v>
      </c>
      <c r="B8" s="5" t="s">
        <v>279</v>
      </c>
      <c r="C8" s="5" t="s">
        <v>280</v>
      </c>
      <c r="D8" s="6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t="s">
        <v>8</v>
      </c>
      <c r="B9" s="5" t="s">
        <v>279</v>
      </c>
      <c r="C9" s="5" t="s">
        <v>280</v>
      </c>
      <c r="D9" s="6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t="s">
        <v>9</v>
      </c>
      <c r="B10" s="5" t="s">
        <v>279</v>
      </c>
      <c r="C10" s="5" t="s">
        <v>280</v>
      </c>
      <c r="D10" s="6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t="s">
        <v>10</v>
      </c>
      <c r="B11" s="5" t="s">
        <v>279</v>
      </c>
      <c r="C11" s="5" t="s">
        <v>280</v>
      </c>
      <c r="D11" s="6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t="s">
        <v>11</v>
      </c>
      <c r="B12" s="5" t="s">
        <v>279</v>
      </c>
      <c r="C12" s="5" t="s">
        <v>280</v>
      </c>
      <c r="D12" s="6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t="s">
        <v>12</v>
      </c>
      <c r="B13" s="5" t="s">
        <v>276</v>
      </c>
      <c r="C13" s="5" t="s">
        <v>278</v>
      </c>
      <c r="D13" s="5" t="s">
        <v>277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t="s">
        <v>13</v>
      </c>
      <c r="B14" s="5" t="s">
        <v>276</v>
      </c>
      <c r="C14" s="5" t="s">
        <v>278</v>
      </c>
      <c r="D14" s="5" t="s">
        <v>277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t="s">
        <v>14</v>
      </c>
      <c r="B15" s="5" t="s">
        <v>276</v>
      </c>
      <c r="C15" s="5" t="s">
        <v>278</v>
      </c>
      <c r="D15" s="5" t="s">
        <v>277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t="s">
        <v>15</v>
      </c>
      <c r="B16" s="5" t="s">
        <v>279</v>
      </c>
      <c r="C16" s="5" t="s">
        <v>280</v>
      </c>
      <c r="D16" s="6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t="s">
        <v>16</v>
      </c>
      <c r="B17" s="5" t="s">
        <v>279</v>
      </c>
      <c r="C17" s="5" t="s">
        <v>280</v>
      </c>
      <c r="D17" s="6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t="s">
        <v>17</v>
      </c>
      <c r="B18" s="5" t="s">
        <v>279</v>
      </c>
      <c r="C18" s="5" t="s">
        <v>280</v>
      </c>
      <c r="D18" s="6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t="s">
        <v>18</v>
      </c>
      <c r="B19" s="5" t="s">
        <v>279</v>
      </c>
      <c r="C19" s="5" t="s">
        <v>280</v>
      </c>
      <c r="D19" s="6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t="s">
        <v>19</v>
      </c>
      <c r="B20" s="5" t="s">
        <v>279</v>
      </c>
      <c r="C20" s="5" t="s">
        <v>280</v>
      </c>
      <c r="D20" s="6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t="s">
        <v>20</v>
      </c>
      <c r="B21" s="5" t="s">
        <v>279</v>
      </c>
      <c r="C21" s="5" t="s">
        <v>280</v>
      </c>
      <c r="D21" s="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t="s">
        <v>21</v>
      </c>
      <c r="B22" s="5" t="s">
        <v>279</v>
      </c>
      <c r="C22" s="5" t="s">
        <v>280</v>
      </c>
      <c r="D22" s="6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t="s">
        <v>22</v>
      </c>
      <c r="B23" s="5" t="s">
        <v>279</v>
      </c>
      <c r="C23" s="5" t="s">
        <v>280</v>
      </c>
      <c r="D23" s="6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t="s">
        <v>23</v>
      </c>
      <c r="B24" s="5" t="s">
        <v>279</v>
      </c>
      <c r="C24" s="5" t="s">
        <v>280</v>
      </c>
      <c r="D24" s="6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t="s">
        <v>24</v>
      </c>
      <c r="B25" s="5" t="s">
        <v>279</v>
      </c>
      <c r="C25" s="5" t="s">
        <v>280</v>
      </c>
      <c r="D25" s="6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t="s">
        <v>25</v>
      </c>
      <c r="B26" s="5" t="s">
        <v>279</v>
      </c>
      <c r="C26" s="5" t="s">
        <v>280</v>
      </c>
      <c r="D26" s="6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t="s">
        <v>26</v>
      </c>
      <c r="B27" s="5" t="s">
        <v>279</v>
      </c>
      <c r="C27" s="5" t="s">
        <v>280</v>
      </c>
      <c r="D27" s="6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t="s">
        <v>27</v>
      </c>
      <c r="B28" s="5" t="s">
        <v>279</v>
      </c>
      <c r="C28" s="5" t="s">
        <v>280</v>
      </c>
      <c r="D28" s="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t="s">
        <v>28</v>
      </c>
      <c r="B29" s="5" t="s">
        <v>276</v>
      </c>
      <c r="C29" s="5" t="s">
        <v>278</v>
      </c>
      <c r="D29" s="5" t="s">
        <v>277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t="s">
        <v>29</v>
      </c>
      <c r="B30" s="5" t="s">
        <v>279</v>
      </c>
      <c r="C30" s="5" t="s">
        <v>280</v>
      </c>
      <c r="D30" s="6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t="s">
        <v>30</v>
      </c>
      <c r="B31" s="5" t="s">
        <v>279</v>
      </c>
      <c r="C31" s="5" t="s">
        <v>280</v>
      </c>
      <c r="D31" s="6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t="s">
        <v>31</v>
      </c>
      <c r="B32" s="5" t="s">
        <v>279</v>
      </c>
      <c r="C32" s="5" t="s">
        <v>280</v>
      </c>
      <c r="D32" s="6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t="s">
        <v>32</v>
      </c>
      <c r="B33" s="5" t="s">
        <v>279</v>
      </c>
      <c r="C33" s="5" t="s">
        <v>280</v>
      </c>
      <c r="D33" s="6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t="s">
        <v>33</v>
      </c>
      <c r="B34" s="5" t="s">
        <v>279</v>
      </c>
      <c r="C34" s="5" t="s">
        <v>280</v>
      </c>
      <c r="D34" s="6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Input</vt:lpstr>
      <vt:lpstr>Workflow products</vt:lpstr>
      <vt:lpstr>Sheet5</vt:lpstr>
      <vt:lpstr>Sheet10</vt:lpstr>
      <vt:lpstr>Sheet6</vt:lpstr>
      <vt:lpstr>QuantiMIZE</vt:lpstr>
      <vt:lpstr>Sheet1</vt:lpstr>
      <vt:lpstr>Sheet3</vt:lpstr>
      <vt:lpstr>Sheet8</vt:lpstr>
      <vt:lpstr>Sheet9</vt:lpstr>
      <vt:lpstr>Sheet2</vt:lpstr>
      <vt:lpstr>Sheet4</vt:lpstr>
      <vt:lpstr>MinPlates</vt:lpstr>
      <vt:lpstr>AnalysisType</vt:lpstr>
      <vt:lpstr>CatalogedArrays</vt:lpstr>
      <vt:lpstr>CustomArraySpecies</vt:lpstr>
      <vt:lpstr>MinPlates!CustomArrayVariants</vt:lpstr>
      <vt:lpstr>CustomArrayVariants</vt:lpstr>
      <vt:lpstr>MicrobiomeSpecies</vt:lpstr>
      <vt:lpstr>Normalizers</vt:lpstr>
      <vt:lpstr>NumberOfPlates</vt:lpstr>
      <vt:lpstr>NumberOfSamples</vt:lpstr>
      <vt:lpstr>PCRCyclers</vt:lpstr>
      <vt:lpstr>PCRFormat</vt:lpstr>
      <vt:lpstr>'Workflow products'!Print_Area</vt:lpstr>
      <vt:lpstr>QuantiMIZEproducts</vt:lpstr>
      <vt:lpstr>SAPIDs</vt:lpstr>
      <vt:lpstr>SAPNames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Samara</dc:creator>
  <cp:lastModifiedBy>Miranda Hanson</cp:lastModifiedBy>
  <cp:lastPrinted>2015-04-01T17:21:43Z</cp:lastPrinted>
  <dcterms:created xsi:type="dcterms:W3CDTF">2014-12-16T04:25:36Z</dcterms:created>
  <dcterms:modified xsi:type="dcterms:W3CDTF">2015-06-26T17:46:55Z</dcterms:modified>
</cp:coreProperties>
</file>