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85" windowWidth="14880" windowHeight="4560" tabRatio="760"/>
  </bookViews>
  <sheets>
    <sheet name="Instructions" sheetId="24" r:id="rId1"/>
    <sheet name="Assay Quick Start Guide" sheetId="23" r:id="rId2"/>
    <sheet name="Array Quick Start Guide" sheetId="16" r:id="rId3"/>
    <sheet name="Raw Data &amp; Analysis Setup" sheetId="2" r:id="rId4"/>
    <sheet name="Results" sheetId="4" r:id="rId5"/>
    <sheet name="Calculation" sheetId="5" r:id="rId6"/>
  </sheets>
  <definedNames>
    <definedName name="OLE_LINK1" localSheetId="1">'Assay Quick Start Guide'!$F$16</definedName>
  </definedNames>
  <calcPr calcId="145621"/>
</workbook>
</file>

<file path=xl/calcChain.xml><?xml version="1.0" encoding="utf-8"?>
<calcChain xmlns="http://schemas.openxmlformats.org/spreadsheetml/2006/main">
  <c r="A4" i="4" l="1"/>
  <c r="A5" i="4"/>
  <c r="A6" i="4"/>
  <c r="A7" i="4"/>
  <c r="A8" i="4"/>
  <c r="A9" i="4"/>
  <c r="A10" i="4"/>
  <c r="A11" i="4"/>
  <c r="A12" i="4"/>
  <c r="A13" i="4"/>
  <c r="A14" i="4"/>
  <c r="A15" i="4"/>
  <c r="A16" i="4"/>
  <c r="A17" i="4"/>
  <c r="A18" i="4"/>
  <c r="A3" i="4"/>
  <c r="H17" i="4" l="1"/>
  <c r="H16" i="4"/>
  <c r="H15" i="4"/>
  <c r="H14" i="4"/>
  <c r="H13" i="4"/>
  <c r="H12" i="4"/>
  <c r="H11" i="4"/>
  <c r="H10" i="4"/>
  <c r="H9" i="4"/>
  <c r="H8" i="4"/>
  <c r="H7" i="4"/>
  <c r="H6" i="4"/>
  <c r="H5" i="4"/>
  <c r="H4" i="4"/>
  <c r="H3" i="4"/>
  <c r="E17" i="4" l="1"/>
  <c r="E16" i="4"/>
  <c r="E15" i="4"/>
  <c r="E14" i="4"/>
  <c r="E13" i="4"/>
  <c r="E12" i="4"/>
  <c r="E11" i="4"/>
  <c r="E10" i="4"/>
  <c r="E9" i="4"/>
  <c r="E8" i="4"/>
  <c r="E7" i="4"/>
  <c r="E6" i="4"/>
  <c r="E5" i="4"/>
  <c r="E4" i="4"/>
  <c r="E3" i="4"/>
  <c r="U18" i="5"/>
  <c r="T18" i="5"/>
  <c r="W3" i="5"/>
  <c r="W4" i="5"/>
  <c r="W5" i="5"/>
  <c r="W6" i="5"/>
  <c r="W7" i="5"/>
  <c r="W8" i="5"/>
  <c r="W9" i="5"/>
  <c r="W10" i="5"/>
  <c r="W11" i="5"/>
  <c r="W12" i="5"/>
  <c r="W13" i="5"/>
  <c r="W14" i="5"/>
  <c r="W15" i="5"/>
  <c r="W16" i="5"/>
  <c r="W17" i="5"/>
  <c r="B10" i="23" l="1"/>
  <c r="B9" i="23"/>
  <c r="B8" i="23"/>
  <c r="B7" i="23"/>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I89" i="5" l="1"/>
  <c r="E89" i="2" s="1"/>
  <c r="F89" i="2" s="1"/>
  <c r="I80" i="5"/>
  <c r="E80" i="2" s="1"/>
  <c r="F80" i="2" s="1"/>
  <c r="I65" i="5"/>
  <c r="E65" i="2" s="1"/>
  <c r="F65" i="2" s="1"/>
  <c r="I56" i="5"/>
  <c r="E56" i="2" s="1"/>
  <c r="F56" i="2" s="1"/>
  <c r="I41" i="5"/>
  <c r="E41" i="2" s="1"/>
  <c r="F41" i="2" s="1"/>
  <c r="I32" i="5"/>
  <c r="E32" i="2" s="1"/>
  <c r="F32" i="2" s="1"/>
  <c r="I20" i="5"/>
  <c r="E20" i="2" s="1"/>
  <c r="F20" i="2" s="1"/>
  <c r="H92" i="5"/>
  <c r="D92" i="2" s="1"/>
  <c r="H77" i="5"/>
  <c r="D77" i="2" s="1"/>
  <c r="I68" i="5"/>
  <c r="E68" i="2" s="1"/>
  <c r="F68" i="2" s="1"/>
  <c r="H53" i="5"/>
  <c r="D53" i="2" s="1"/>
  <c r="I44" i="5"/>
  <c r="E44" i="2" s="1"/>
  <c r="F44" i="2" s="1"/>
  <c r="I29" i="5"/>
  <c r="E29" i="2" s="1"/>
  <c r="F29" i="2" s="1"/>
  <c r="I17" i="5"/>
  <c r="E17" i="2" s="1"/>
  <c r="F17" i="2" s="1"/>
  <c r="I95" i="5"/>
  <c r="E95" i="2" s="1"/>
  <c r="F95" i="2" s="1"/>
  <c r="I83" i="5"/>
  <c r="E83" i="2" s="1"/>
  <c r="F83" i="2" s="1"/>
  <c r="I71" i="5"/>
  <c r="E71" i="2" s="1"/>
  <c r="F71" i="2" s="1"/>
  <c r="I59" i="5"/>
  <c r="E59" i="2" s="1"/>
  <c r="F59" i="2" s="1"/>
  <c r="I47" i="5"/>
  <c r="E47" i="2" s="1"/>
  <c r="F47" i="2" s="1"/>
  <c r="I35" i="5"/>
  <c r="E35" i="2" s="1"/>
  <c r="F35" i="2" s="1"/>
  <c r="I23" i="5"/>
  <c r="E23" i="2" s="1"/>
  <c r="F23" i="2" s="1"/>
  <c r="I86" i="5"/>
  <c r="E86" i="2" s="1"/>
  <c r="F86" i="2" s="1"/>
  <c r="I74" i="5"/>
  <c r="E74" i="2" s="1"/>
  <c r="F74" i="2" s="1"/>
  <c r="I62" i="5"/>
  <c r="E62" i="2" s="1"/>
  <c r="F62" i="2" s="1"/>
  <c r="I50" i="5"/>
  <c r="E50" i="2" s="1"/>
  <c r="F50" i="2" s="1"/>
  <c r="I38" i="5"/>
  <c r="E38" i="2" s="1"/>
  <c r="F38" i="2" s="1"/>
  <c r="I26" i="5"/>
  <c r="E26" i="2" s="1"/>
  <c r="F26" i="2" s="1"/>
  <c r="H14" i="5"/>
  <c r="H80" i="5"/>
  <c r="X16" i="5" s="1"/>
  <c r="H56" i="5"/>
  <c r="X12" i="5" s="1"/>
  <c r="H32" i="5"/>
  <c r="X8" i="5" s="1"/>
  <c r="I92" i="5"/>
  <c r="E92" i="2" s="1"/>
  <c r="F92" i="2" s="1"/>
  <c r="H89" i="5"/>
  <c r="H65" i="5"/>
  <c r="H41" i="5"/>
  <c r="H29" i="5"/>
  <c r="I77" i="5"/>
  <c r="E77" i="2" s="1"/>
  <c r="F77" i="2" s="1"/>
  <c r="I53" i="5"/>
  <c r="E53" i="2" s="1"/>
  <c r="F53" i="2" s="1"/>
  <c r="H86" i="5"/>
  <c r="X17" i="5" s="1"/>
  <c r="H74" i="5"/>
  <c r="X15" i="5" s="1"/>
  <c r="H62" i="5"/>
  <c r="X13" i="5" s="1"/>
  <c r="H50" i="5"/>
  <c r="X11" i="5" s="1"/>
  <c r="H38" i="5"/>
  <c r="X9" i="5" s="1"/>
  <c r="H26" i="5"/>
  <c r="X7" i="5" s="1"/>
  <c r="H68" i="5"/>
  <c r="X14" i="5" s="1"/>
  <c r="H44" i="5"/>
  <c r="X10" i="5" s="1"/>
  <c r="H20" i="5"/>
  <c r="X6" i="5" s="1"/>
  <c r="H17" i="5"/>
  <c r="I14" i="5"/>
  <c r="E14" i="2" s="1"/>
  <c r="F14" i="2" s="1"/>
  <c r="H95" i="5"/>
  <c r="H83" i="5"/>
  <c r="H71" i="5"/>
  <c r="H59" i="5"/>
  <c r="H47" i="5"/>
  <c r="H35" i="5"/>
  <c r="H23" i="5"/>
  <c r="H11" i="5"/>
  <c r="I11" i="5"/>
  <c r="E11" i="2" s="1"/>
  <c r="F11" i="2" s="1"/>
  <c r="H8" i="5"/>
  <c r="I5" i="5"/>
  <c r="E5" i="2" s="1"/>
  <c r="F5" i="2" s="1"/>
  <c r="H5" i="5"/>
  <c r="I8" i="5"/>
  <c r="E8" i="2" s="1"/>
  <c r="F8" i="2" s="1"/>
  <c r="I2" i="5"/>
  <c r="E2" i="2" s="1"/>
  <c r="F2" i="2" s="1"/>
  <c r="H2" i="5"/>
  <c r="X3" i="5" s="1"/>
  <c r="D14" i="2" l="1"/>
  <c r="X5" i="5"/>
  <c r="D8" i="2"/>
  <c r="X4" i="5"/>
  <c r="D95" i="2"/>
  <c r="D44" i="2"/>
  <c r="D50" i="2"/>
  <c r="D65" i="2"/>
  <c r="D59" i="2"/>
  <c r="D68" i="2"/>
  <c r="D62" i="2"/>
  <c r="D89" i="2"/>
  <c r="D71" i="2"/>
  <c r="D26" i="2"/>
  <c r="D29" i="2"/>
  <c r="D47" i="2"/>
  <c r="D56" i="2"/>
  <c r="D80" i="2"/>
  <c r="D23" i="2"/>
  <c r="D17" i="2"/>
  <c r="D74" i="2"/>
  <c r="D35" i="2"/>
  <c r="D83" i="2"/>
  <c r="D20" i="2"/>
  <c r="D38" i="2"/>
  <c r="D86" i="2"/>
  <c r="D41" i="2"/>
  <c r="D32" i="2"/>
  <c r="D11" i="2"/>
  <c r="D5" i="2"/>
  <c r="D2" i="2"/>
  <c r="M18" i="5" l="1"/>
  <c r="W18" i="5" s="1"/>
  <c r="X18" i="5" s="1"/>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J92" i="5" l="1"/>
  <c r="J14" i="5"/>
  <c r="K14" i="5" s="1"/>
  <c r="J53" i="5"/>
  <c r="J77" i="5"/>
  <c r="J95" i="5"/>
  <c r="J11" i="5"/>
  <c r="J89" i="5"/>
  <c r="J47" i="5"/>
  <c r="J80" i="5"/>
  <c r="J35" i="5"/>
  <c r="J20" i="5"/>
  <c r="J62" i="5"/>
  <c r="J74" i="5"/>
  <c r="J38" i="5"/>
  <c r="J8" i="5"/>
  <c r="J59" i="5"/>
  <c r="J71" i="5"/>
  <c r="J56" i="5"/>
  <c r="J83" i="5"/>
  <c r="J50" i="5"/>
  <c r="K50" i="5" s="1"/>
  <c r="J68" i="5"/>
  <c r="J26" i="5"/>
  <c r="J86" i="5"/>
  <c r="J5" i="5"/>
  <c r="J44" i="5"/>
  <c r="J41" i="5"/>
  <c r="J65" i="5"/>
  <c r="K65" i="5" s="1"/>
  <c r="J29" i="5"/>
  <c r="J23" i="5"/>
  <c r="J2" i="5"/>
  <c r="J17" i="5"/>
  <c r="J32" i="5"/>
  <c r="K68" i="5" l="1"/>
  <c r="K8" i="5"/>
  <c r="K23" i="5"/>
  <c r="K38" i="5"/>
  <c r="K17" i="5"/>
  <c r="K26" i="5"/>
  <c r="K59" i="5"/>
  <c r="K44" i="5"/>
  <c r="K77" i="5"/>
  <c r="K41" i="5"/>
  <c r="K74" i="5"/>
  <c r="K35" i="5"/>
  <c r="K71" i="5"/>
  <c r="K11" i="5"/>
  <c r="K56" i="5"/>
  <c r="K89" i="5"/>
  <c r="K20" i="5"/>
  <c r="K53" i="5"/>
  <c r="K47" i="5"/>
  <c r="K83" i="5"/>
  <c r="K32" i="5"/>
  <c r="K5" i="5"/>
  <c r="K86" i="5"/>
  <c r="K2" i="5"/>
  <c r="K62" i="5"/>
  <c r="K80" i="5"/>
  <c r="K29" i="5"/>
  <c r="K92" i="5"/>
  <c r="K95" i="5"/>
  <c r="N3" i="5" l="1"/>
  <c r="Y3" i="5"/>
  <c r="N4" i="5"/>
  <c r="O3" i="5"/>
  <c r="O11" i="5"/>
  <c r="Y12" i="5"/>
  <c r="Y11" i="5"/>
  <c r="N11" i="5"/>
  <c r="Y4" i="5"/>
  <c r="N12" i="5"/>
  <c r="O4" i="5"/>
  <c r="O12" i="5"/>
  <c r="Y18" i="5"/>
  <c r="Y15" i="5"/>
  <c r="Y17" i="5"/>
  <c r="Y16" i="5"/>
  <c r="Y13" i="5"/>
  <c r="Y5" i="5"/>
  <c r="Z5" i="5" s="1"/>
  <c r="Y10" i="5"/>
  <c r="Y8" i="5"/>
  <c r="Y9" i="5"/>
  <c r="Y14" i="5"/>
  <c r="Y6" i="5"/>
  <c r="Y7" i="5"/>
  <c r="O17" i="5"/>
  <c r="O15" i="5"/>
  <c r="N16" i="5"/>
  <c r="O7" i="5"/>
  <c r="N6" i="5"/>
  <c r="O16" i="5"/>
  <c r="O18" i="5"/>
  <c r="O8" i="5"/>
  <c r="O9" i="5"/>
  <c r="N15" i="5"/>
  <c r="P15" i="5" s="1"/>
  <c r="O10" i="5"/>
  <c r="O5" i="5"/>
  <c r="N7" i="5"/>
  <c r="N8" i="5"/>
  <c r="N14" i="5"/>
  <c r="O6" i="5"/>
  <c r="N17" i="5"/>
  <c r="N18" i="5"/>
  <c r="O14" i="5"/>
  <c r="N9" i="5"/>
  <c r="O13" i="5"/>
  <c r="N5" i="5"/>
  <c r="N13" i="5"/>
  <c r="N10" i="5"/>
  <c r="C15" i="4" l="1"/>
  <c r="D15" i="4" s="1"/>
  <c r="U15" i="5"/>
  <c r="T15" i="5"/>
  <c r="Z14" i="5"/>
  <c r="AA14" i="5" s="1"/>
  <c r="Z11" i="5"/>
  <c r="AA11" i="5" s="1"/>
  <c r="Z12" i="5"/>
  <c r="AA12" i="5" s="1"/>
  <c r="Z3" i="5"/>
  <c r="AA3" i="5" s="1"/>
  <c r="B3" i="4" s="1"/>
  <c r="Z4" i="5"/>
  <c r="AA4" i="5" s="1"/>
  <c r="Z7" i="5"/>
  <c r="AA7" i="5" s="1"/>
  <c r="Z6" i="5"/>
  <c r="Z9" i="5"/>
  <c r="AA9" i="5" s="1"/>
  <c r="Z10" i="5"/>
  <c r="AA10" i="5" s="1"/>
  <c r="Z16" i="5"/>
  <c r="AA16" i="5" s="1"/>
  <c r="Z8" i="5"/>
  <c r="AA8" i="5" s="1"/>
  <c r="Z17" i="5"/>
  <c r="AA17" i="5" s="1"/>
  <c r="Z15" i="5"/>
  <c r="AA15" i="5" s="1"/>
  <c r="Z13" i="5"/>
  <c r="AA13" i="5" s="1"/>
  <c r="Z18" i="5"/>
  <c r="AA18" i="5" s="1"/>
  <c r="B18" i="4" s="1"/>
  <c r="P3" i="5"/>
  <c r="P4" i="5"/>
  <c r="P12" i="5"/>
  <c r="P11" i="5"/>
  <c r="P17" i="5"/>
  <c r="AA5" i="5"/>
  <c r="P9" i="5"/>
  <c r="P6" i="5"/>
  <c r="P8" i="5"/>
  <c r="P16" i="5"/>
  <c r="P14" i="5"/>
  <c r="P7" i="5"/>
  <c r="P18" i="5"/>
  <c r="Q18" i="5" s="1"/>
  <c r="S18" i="5" s="1"/>
  <c r="P13" i="5"/>
  <c r="Q15" i="5"/>
  <c r="G15" i="4" s="1"/>
  <c r="P10" i="5"/>
  <c r="P5" i="5"/>
  <c r="G5" i="4" s="1"/>
  <c r="G11" i="4" l="1"/>
  <c r="G8" i="4"/>
  <c r="C7" i="4"/>
  <c r="D7" i="4" s="1"/>
  <c r="Q6" i="5"/>
  <c r="G6" i="4" s="1"/>
  <c r="T6" i="5"/>
  <c r="C11" i="4"/>
  <c r="D11" i="4" s="1"/>
  <c r="C14" i="4"/>
  <c r="D14" i="4" s="1"/>
  <c r="C12" i="4"/>
  <c r="D12" i="4" s="1"/>
  <c r="C13" i="4"/>
  <c r="D13" i="4" s="1"/>
  <c r="U13" i="5"/>
  <c r="C16" i="4"/>
  <c r="D16" i="4" s="1"/>
  <c r="Q4" i="5"/>
  <c r="T4" i="5" s="1"/>
  <c r="U4" i="5"/>
  <c r="C5" i="4"/>
  <c r="D5" i="4" s="1"/>
  <c r="T5" i="5"/>
  <c r="U5" i="5"/>
  <c r="C8" i="4"/>
  <c r="D8" i="4" s="1"/>
  <c r="T8" i="5"/>
  <c r="C17" i="4"/>
  <c r="D17" i="4" s="1"/>
  <c r="C3" i="4"/>
  <c r="D3" i="4" s="1"/>
  <c r="U3" i="5"/>
  <c r="C10" i="4"/>
  <c r="D10" i="4" s="1"/>
  <c r="T10" i="5"/>
  <c r="C9" i="4"/>
  <c r="D9" i="4" s="1"/>
  <c r="AA6" i="5"/>
  <c r="B6" i="4" s="1"/>
  <c r="Q3" i="5"/>
  <c r="G3" i="4" s="1"/>
  <c r="Q11" i="5"/>
  <c r="U11" i="5" s="1"/>
  <c r="B8" i="4"/>
  <c r="B13" i="4"/>
  <c r="R15" i="5"/>
  <c r="B10" i="4"/>
  <c r="B16" i="4"/>
  <c r="B11" i="4"/>
  <c r="R6" i="5"/>
  <c r="B9" i="4"/>
  <c r="B15" i="4"/>
  <c r="B4" i="4"/>
  <c r="Q5" i="5"/>
  <c r="R18" i="5"/>
  <c r="B7" i="4"/>
  <c r="Q12" i="5"/>
  <c r="T12" i="5" s="1"/>
  <c r="B14" i="4"/>
  <c r="B17" i="4"/>
  <c r="B12" i="4"/>
  <c r="B5" i="4"/>
  <c r="Q17" i="5"/>
  <c r="U17" i="5" s="1"/>
  <c r="C4" i="4"/>
  <c r="D4" i="4" s="1"/>
  <c r="C6" i="4"/>
  <c r="D6" i="4" s="1"/>
  <c r="Q9" i="5"/>
  <c r="G9" i="4" s="1"/>
  <c r="Q8" i="5"/>
  <c r="U8" i="5" s="1"/>
  <c r="Q16" i="5"/>
  <c r="T16" i="5" s="1"/>
  <c r="Q7" i="5"/>
  <c r="U7" i="5" s="1"/>
  <c r="Q14" i="5"/>
  <c r="T14" i="5" s="1"/>
  <c r="Q13" i="5"/>
  <c r="G13" i="4" s="1"/>
  <c r="Q10" i="5"/>
  <c r="G10" i="4" s="1"/>
  <c r="G7" i="4" l="1"/>
  <c r="G4" i="4"/>
  <c r="R4" i="5"/>
  <c r="S4" i="5" s="1"/>
  <c r="F4" i="4" s="1"/>
  <c r="U9" i="5"/>
  <c r="U10" i="5"/>
  <c r="U16" i="5"/>
  <c r="T13" i="5"/>
  <c r="T11" i="5"/>
  <c r="G16" i="4"/>
  <c r="G12" i="4"/>
  <c r="U12" i="5"/>
  <c r="U14" i="5"/>
  <c r="G14" i="4"/>
  <c r="S15" i="5"/>
  <c r="F15" i="4" s="1"/>
  <c r="T9" i="5"/>
  <c r="T17" i="5"/>
  <c r="G17" i="4"/>
  <c r="S13" i="5"/>
  <c r="F13" i="4" s="1"/>
  <c r="S6" i="5"/>
  <c r="T7" i="5"/>
  <c r="S9" i="5"/>
  <c r="T3" i="5"/>
  <c r="U6" i="5"/>
  <c r="R3" i="5"/>
  <c r="R11" i="5"/>
  <c r="R5" i="5"/>
  <c r="R10" i="5"/>
  <c r="R14" i="5"/>
  <c r="R16" i="5"/>
  <c r="R17" i="5"/>
  <c r="R13" i="5"/>
  <c r="R8" i="5"/>
  <c r="R12" i="5"/>
  <c r="R7" i="5"/>
  <c r="R9" i="5"/>
  <c r="F9" i="4" l="1"/>
  <c r="S8" i="5"/>
  <c r="F8" i="4" s="1"/>
  <c r="S14" i="5"/>
  <c r="F14" i="4" s="1"/>
  <c r="S10" i="5"/>
  <c r="F10" i="4" s="1"/>
  <c r="S7" i="5"/>
  <c r="F7" i="4" s="1"/>
  <c r="S5" i="5"/>
  <c r="F5" i="4" s="1"/>
  <c r="S16" i="5"/>
  <c r="F16" i="4" s="1"/>
  <c r="S11" i="5"/>
  <c r="F11" i="4" s="1"/>
  <c r="S12" i="5"/>
  <c r="F12" i="4" s="1"/>
  <c r="F6" i="4"/>
  <c r="S17" i="5"/>
  <c r="F17" i="4" s="1"/>
  <c r="S3" i="5"/>
  <c r="F3" i="4" s="1"/>
</calcChain>
</file>

<file path=xl/sharedStrings.xml><?xml version="1.0" encoding="utf-8"?>
<sst xmlns="http://schemas.openxmlformats.org/spreadsheetml/2006/main" count="378" uniqueCount="165">
  <si>
    <t>Well</t>
  </si>
  <si>
    <t>Component</t>
  </si>
  <si>
    <t>RNase-/DNase-free water</t>
  </si>
  <si>
    <t>Final volume</t>
  </si>
  <si>
    <t>Control</t>
  </si>
  <si>
    <t>Assays</t>
  </si>
  <si>
    <t>Sample Position</t>
  </si>
  <si>
    <t>Sample ID</t>
  </si>
  <si>
    <t>Control Position</t>
  </si>
  <si>
    <t>Genomic DNA (Control or Sample)</t>
  </si>
  <si>
    <t>4 µl</t>
  </si>
  <si>
    <t>Raw Data</t>
  </si>
  <si>
    <t xml:space="preserve">Generally, only change data in yellow cells. Gray and white cells contain formulas for calculation or results. Please do not change them. </t>
  </si>
  <si>
    <t xml:space="preserve">QC Call </t>
  </si>
  <si>
    <t>Added Cycles</t>
  </si>
  <si>
    <t>S1</t>
  </si>
  <si>
    <t>S2</t>
  </si>
  <si>
    <t>S3</t>
  </si>
  <si>
    <t>S4</t>
  </si>
  <si>
    <t>S5</t>
  </si>
  <si>
    <t>S6</t>
  </si>
  <si>
    <t>S7</t>
  </si>
  <si>
    <t>S8</t>
  </si>
  <si>
    <t>S9</t>
  </si>
  <si>
    <t>S10</t>
  </si>
  <si>
    <t>S11</t>
  </si>
  <si>
    <t>S12</t>
  </si>
  <si>
    <t>S13</t>
  </si>
  <si>
    <t>S14</t>
  </si>
  <si>
    <t>S15</t>
  </si>
  <si>
    <t>Total volume</t>
  </si>
  <si>
    <t>Primer Assay100 or Assay200</t>
  </si>
  <si>
    <t>Assay100</t>
  </si>
  <si>
    <t>Assay200</t>
  </si>
  <si>
    <t>Sample number (n)</t>
  </si>
  <si>
    <t>X</t>
  </si>
  <si>
    <t>Y</t>
  </si>
  <si>
    <t>Assay QC</t>
  </si>
  <si>
    <t>Standard Deviation</t>
  </si>
  <si>
    <r>
      <t>Average C</t>
    </r>
    <r>
      <rPr>
        <b/>
        <vertAlign val="subscript"/>
        <sz val="11"/>
        <color theme="1"/>
        <rFont val="Calibri"/>
        <family val="2"/>
        <scheme val="minor"/>
      </rPr>
      <t>T</t>
    </r>
  </si>
  <si>
    <t>Layout</t>
  </si>
  <si>
    <r>
      <t>Control C</t>
    </r>
    <r>
      <rPr>
        <b/>
        <vertAlign val="subscript"/>
        <sz val="11"/>
        <color theme="1"/>
        <rFont val="Calibri"/>
        <family val="2"/>
        <scheme val="minor"/>
      </rPr>
      <t>T</t>
    </r>
  </si>
  <si>
    <r>
      <t>ΔC</t>
    </r>
    <r>
      <rPr>
        <b/>
        <vertAlign val="subscript"/>
        <sz val="11"/>
        <color theme="1"/>
        <rFont val="Calibri"/>
        <family val="2"/>
        <scheme val="minor"/>
      </rPr>
      <t>T</t>
    </r>
    <r>
      <rPr>
        <b/>
        <sz val="11"/>
        <color theme="1"/>
        <rFont val="Calibri"/>
        <family val="2"/>
        <scheme val="minor"/>
      </rPr>
      <t xml:space="preserve"> (Sample-Control)</t>
    </r>
  </si>
  <si>
    <t>Assay Group (bp)</t>
  </si>
  <si>
    <t>Slope</t>
  </si>
  <si>
    <r>
      <rPr>
        <b/>
        <sz val="11"/>
        <rFont val="Calibri"/>
        <family val="2"/>
      </rPr>
      <t>∆</t>
    </r>
    <r>
      <rPr>
        <b/>
        <sz val="11"/>
        <rFont val="Calibri"/>
        <family val="2"/>
        <scheme val="minor"/>
      </rPr>
      <t>C</t>
    </r>
    <r>
      <rPr>
        <b/>
        <vertAlign val="subscript"/>
        <sz val="11"/>
        <rFont val="Calibri"/>
        <family val="2"/>
        <scheme val="minor"/>
      </rPr>
      <t>T</t>
    </r>
  </si>
  <si>
    <t>Sample</t>
  </si>
  <si>
    <t>S1_100</t>
  </si>
  <si>
    <t>S9_100</t>
  </si>
  <si>
    <t>S1_200</t>
  </si>
  <si>
    <t>S9_200</t>
  </si>
  <si>
    <t>S2_100</t>
  </si>
  <si>
    <t>S10_100</t>
  </si>
  <si>
    <t>S2_200</t>
  </si>
  <si>
    <t>S10_200</t>
  </si>
  <si>
    <t>S3_100</t>
  </si>
  <si>
    <t>S11_100</t>
  </si>
  <si>
    <t>S3_200</t>
  </si>
  <si>
    <t>S11_200</t>
  </si>
  <si>
    <t>S4_100</t>
  </si>
  <si>
    <t>S12_100</t>
  </si>
  <si>
    <t>S4_200</t>
  </si>
  <si>
    <t>S12_200</t>
  </si>
  <si>
    <t>S5_100</t>
  </si>
  <si>
    <t>S13_100</t>
  </si>
  <si>
    <t>S5_200</t>
  </si>
  <si>
    <t>S13_200</t>
  </si>
  <si>
    <t>S6_100</t>
  </si>
  <si>
    <t>S14_100</t>
  </si>
  <si>
    <t>S6_200</t>
  </si>
  <si>
    <t>S14_200</t>
  </si>
  <si>
    <t>S7_100</t>
  </si>
  <si>
    <t>S15_100</t>
  </si>
  <si>
    <t>S7_200</t>
  </si>
  <si>
    <t>S15_200</t>
  </si>
  <si>
    <t>S8_100</t>
  </si>
  <si>
    <t>Control_100</t>
  </si>
  <si>
    <t>S8_200</t>
  </si>
  <si>
    <t>Control_200</t>
  </si>
  <si>
    <t>Volume</t>
  </si>
  <si>
    <t>Comment</t>
  </si>
  <si>
    <r>
      <t>ΔC</t>
    </r>
    <r>
      <rPr>
        <b/>
        <vertAlign val="subscript"/>
        <sz val="11"/>
        <rFont val="Calibri"/>
        <family val="2"/>
        <scheme val="minor"/>
      </rPr>
      <t>T</t>
    </r>
    <r>
      <rPr>
        <b/>
        <sz val="11"/>
        <rFont val="Calibri"/>
        <family val="2"/>
        <scheme val="minor"/>
      </rPr>
      <t>150</t>
    </r>
  </si>
  <si>
    <t xml:space="preserve">QC Score </t>
  </si>
  <si>
    <t>Quality Control Results</t>
  </si>
  <si>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200</t>
    </r>
  </si>
  <si>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100</t>
    </r>
  </si>
  <si>
    <t>Volume (µL)</t>
  </si>
  <si>
    <t xml:space="preserve">6. Run the following real-time PCR cycling program: </t>
  </si>
  <si>
    <r>
      <t xml:space="preserve">4 </t>
    </r>
    <r>
      <rPr>
        <sz val="11"/>
        <color theme="1"/>
        <rFont val="Calibri"/>
        <family val="2"/>
      </rPr>
      <t>μL</t>
    </r>
  </si>
  <si>
    <t>28 μL</t>
  </si>
  <si>
    <t>32 μL</t>
  </si>
  <si>
    <t xml:space="preserve">4. Run the following real-time PCR cycling program: </t>
  </si>
  <si>
    <t>68 µl</t>
  </si>
  <si>
    <t>72 µl</t>
  </si>
  <si>
    <t>144 µl</t>
  </si>
  <si>
    <t>48µl</t>
  </si>
  <si>
    <t>-</t>
  </si>
  <si>
    <t xml:space="preserve"> 96µl</t>
  </si>
  <si>
    <t>enter number</t>
  </si>
  <si>
    <t>S1:</t>
  </si>
  <si>
    <t>S2:</t>
  </si>
  <si>
    <t>S3:</t>
  </si>
  <si>
    <t>S4:</t>
  </si>
  <si>
    <t>S5:</t>
  </si>
  <si>
    <t>S6:</t>
  </si>
  <si>
    <t>S7:</t>
  </si>
  <si>
    <t>S8:</t>
  </si>
  <si>
    <t>S9:</t>
  </si>
  <si>
    <t>S10:</t>
  </si>
  <si>
    <t>S11:</t>
  </si>
  <si>
    <t>S12:</t>
  </si>
  <si>
    <t>S13:</t>
  </si>
  <si>
    <t>S14:</t>
  </si>
  <si>
    <t>S15:</t>
  </si>
  <si>
    <t>Control:</t>
  </si>
  <si>
    <r>
      <t>Sample Conc. (ng/</t>
    </r>
    <r>
      <rPr>
        <b/>
        <sz val="11"/>
        <color theme="1"/>
        <rFont val="Arial"/>
        <family val="2"/>
      </rPr>
      <t>µ</t>
    </r>
    <r>
      <rPr>
        <b/>
        <sz val="11"/>
        <color theme="1"/>
        <rFont val="Calibri"/>
        <family val="2"/>
      </rPr>
      <t>L)</t>
    </r>
  </si>
  <si>
    <t>Lower Vol.</t>
  </si>
  <si>
    <t>Upper Vol.</t>
  </si>
  <si>
    <t>If QC score&lt;=0.04, use 40 - 100ng of the sample</t>
  </si>
  <si>
    <t>If QC score&gt;0.04 and X&lt;=9, use 120 - 250ng of the sample</t>
  </si>
  <si>
    <t>If X&gt;9, do not proceed with sequencing sample</t>
  </si>
  <si>
    <t>Quick Start Guide for QIAseq DNA QuantiMIZE Assay Kit</t>
  </si>
  <si>
    <t>QIAseq qPCR SYBR Green Mastermix</t>
  </si>
  <si>
    <t>Quick Start Guide for QIAseq DNA QuantiMIZE Array Kit</t>
  </si>
  <si>
    <t>Paired Normal Breast</t>
  </si>
  <si>
    <t>NTS (all-prep)</t>
  </si>
  <si>
    <t>N30 (all-prep)</t>
  </si>
  <si>
    <t>PLT</t>
  </si>
  <si>
    <t>PLN</t>
  </si>
  <si>
    <t>FFPE Melanoma</t>
  </si>
  <si>
    <t>FFPE Colon</t>
  </si>
  <si>
    <t>N19</t>
  </si>
  <si>
    <t>N10</t>
  </si>
  <si>
    <t>NA12878</t>
  </si>
  <si>
    <t>Please input sample concentrations for calculations!
Use NanoDrop or other methods.</t>
  </si>
  <si>
    <t xml:space="preserve">Sample Volume (µL)
Recommended </t>
  </si>
  <si>
    <r>
      <t>Sample Amount (</t>
    </r>
    <r>
      <rPr>
        <b/>
        <sz val="11"/>
        <rFont val="Calibri"/>
        <family val="2"/>
      </rPr>
      <t>ng</t>
    </r>
    <r>
      <rPr>
        <b/>
        <sz val="11"/>
        <rFont val="Calibri"/>
        <family val="2"/>
        <scheme val="minor"/>
      </rPr>
      <t>)
Recommended</t>
    </r>
  </si>
  <si>
    <r>
      <t>Sample Concentration
(ng/</t>
    </r>
    <r>
      <rPr>
        <b/>
        <sz val="11"/>
        <rFont val="Arial"/>
        <family val="2"/>
      </rPr>
      <t>µ</t>
    </r>
    <r>
      <rPr>
        <b/>
        <sz val="11"/>
        <rFont val="Calibri"/>
        <family val="2"/>
        <scheme val="minor"/>
      </rPr>
      <t>L)</t>
    </r>
  </si>
  <si>
    <t>Each gDNA Sample is interrogated by 6 reactions: 3 (triplicate) reactions using Assay100 and 3 (triplicate) reactions using Assay200.</t>
  </si>
  <si>
    <t>Each gDNA Sample is interrogated by 6 reactions: 3 (triplicate) reactions using Assay100 and 3 using (triplicate) reactions Assay200.</t>
  </si>
  <si>
    <t>For each Sample  (6 wells)</t>
  </si>
  <si>
    <t>Always include QuantiMIZE Control gDNA in every run as described below, regardless of the number of gDNA Samples processed.</t>
  </si>
  <si>
    <r>
      <rPr>
        <b/>
        <sz val="11"/>
        <color indexed="8"/>
        <rFont val="Calibri"/>
        <family val="2"/>
        <scheme val="minor"/>
      </rPr>
      <t>1. Assay Quick Start Guide:</t>
    </r>
    <r>
      <rPr>
        <sz val="11"/>
        <color indexed="8"/>
        <rFont val="Calibri"/>
        <family val="2"/>
        <scheme val="minor"/>
      </rPr>
      <t xml:space="preserve">
QuantiMIZE Assay Kit Guide - Input your number of Samples into the yellow "enter number" Cell E7, and then follow the protocol step-by-step to set up assays with your Samples' gDNA and the Control gDNA.</t>
    </r>
  </si>
  <si>
    <r>
      <rPr>
        <b/>
        <sz val="11"/>
        <color indexed="8"/>
        <rFont val="Calibri"/>
        <family val="2"/>
        <scheme val="minor"/>
      </rPr>
      <t>2. Array Quick Start Guide</t>
    </r>
    <r>
      <rPr>
        <sz val="11"/>
        <color indexed="8"/>
        <rFont val="Calibri"/>
        <family val="2"/>
        <scheme val="minor"/>
      </rPr>
      <t>:
QuantiMIZE Array Kit Guide - Follow the protocol step-by-step to set up the array with your Samples' gDNA and the Control gDNA.</t>
    </r>
  </si>
  <si>
    <r>
      <t xml:space="preserve">2. Dispense 16 </t>
    </r>
    <r>
      <rPr>
        <sz val="11"/>
        <rFont val="Calibri"/>
        <family val="2"/>
      </rPr>
      <t>μL</t>
    </r>
    <r>
      <rPr>
        <sz val="11"/>
        <rFont val="Calibri"/>
        <family val="2"/>
        <scheme val="minor"/>
      </rPr>
      <t xml:space="preserve"> of PCR Components Mix 1 (Assay100) or Mix 2 (Assay200) into the appropriate Sample-specific (up to the number of Samples being processed) and Control white or gray wells, respectively, according to layout below:</t>
    </r>
  </si>
  <si>
    <t>3. Dilute each Sample gDNA or Control gDNA separately with RNase-/DNase-free water according to the Table below.</t>
  </si>
  <si>
    <t xml:space="preserve">5. Seal the disc with Rotor-Disc Heat-Sealing Film using the Rotor-Disc Heat Sealer. See Instrument Handbook for detailed instructions.
Vortex the disc and spin it down. </t>
  </si>
  <si>
    <t>1. Prepare 2 PCR Components Mixes, Mix 1 using Primer Assay100 and Mix 2 for Primer Assay200.
For a complete recipe, input the number of Samples to be analyzed into the yellow "enter number" Cell E7.
Also prepare 1X PCR mastermix "For Wells 97-100" and for any remaining wells without Sample gDNA.</t>
  </si>
  <si>
    <t>1. Prepare a PCR Components Mix for each Sample gDNA and Control gDNA using the following recipe.
Also prepare 1X PCR mastermix "For Wells 97-100" and for any remaining wells without Sample gDNA.</t>
  </si>
  <si>
    <r>
      <t xml:space="preserve">4. Dispense 4 </t>
    </r>
    <r>
      <rPr>
        <sz val="11"/>
        <rFont val="Calibri"/>
        <family val="2"/>
      </rPr>
      <t>μL</t>
    </r>
    <r>
      <rPr>
        <sz val="11"/>
        <rFont val="Calibri"/>
        <family val="2"/>
        <scheme val="minor"/>
      </rPr>
      <t xml:space="preserve"> of each diluted Sample or Control gDNA into the appropriate wells according to the Layout described in step 2 above.
Sample 1 (S1) occupies Wells 1 through 3 for Assay100 (white cells) and Wells 4 through 6 for Assay200 (shaded cells).
Sample 2 (S2) occupies Wells 7 through 9 and Wells 10 through 12, and so on up to the number of Samples being processed.
The diluted Control gDNA MUST BE ADDED to Wells 91 through 93 for Assay100 and Wells 94 through 96 for Assay200.
Finally, add 20 μL 1X PCR mastermix to Wells 97 through 100 and to any remaining empty wells if less than 15 Samples are being tested.</t>
    </r>
  </si>
  <si>
    <t>3. Seal the disc with Rotor-Disc Heat-Sealing Film using the Rotor-Disc Heat Sealer. See Instrument Handbook for detailed instructions.
Vortex the disc and spin it down.</t>
  </si>
  <si>
    <t>Thyroid Tumor</t>
  </si>
  <si>
    <t>Normal Thyroid</t>
  </si>
  <si>
    <t>Melanoma 1</t>
  </si>
  <si>
    <t>Paired Breast Tumor</t>
  </si>
  <si>
    <t>Melanoma 2</t>
  </si>
  <si>
    <t>Add the Sample 1 (S1) PCR Components Mix to Wells 1 through 3 for Assay100 (white cells) and Wells 4 through 6 for Assay200 (shaded cells).
Add the Sample 2 (S2) PCR Components Mix to Wells 7 through 9 and Wells 10 through 12, and so on up to the number of Samples being processed.
The Control gDNA PCR Components Mix MUST BE ADDED to Wells 91 through 96.
Finally, add 20 μL 1X PCR mastermix to Wells 97 through 100 and any other remaining empty wells if less than 15 Samples are being tested.</t>
  </si>
  <si>
    <t>Version 1.0, February 2017</t>
  </si>
  <si>
    <t>For Wells 97-100, scale up as needed</t>
  </si>
  <si>
    <t xml:space="preserve">Instructions for Analyzing QIAseq DNA QuantiMIZE Rotor-Disc 1000 Rotor Array/Assay Kit Results for the QIAseq Targeted DNA Panels with this file: </t>
  </si>
  <si>
    <r>
      <t xml:space="preserve">3. Raw Data &amp; Analysis Setup Worksheet:
</t>
    </r>
    <r>
      <rPr>
        <sz val="11"/>
        <rFont val="Calibri"/>
        <family val="2"/>
        <scheme val="minor"/>
      </rPr>
      <t>a. Copy and Paste Special Values the raw C</t>
    </r>
    <r>
      <rPr>
        <vertAlign val="subscript"/>
        <sz val="11"/>
        <rFont val="Calibri"/>
        <family val="2"/>
        <scheme val="minor"/>
      </rPr>
      <t>T</t>
    </r>
    <r>
      <rPr>
        <sz val="11"/>
        <rFont val="Calibri"/>
        <family val="2"/>
        <scheme val="minor"/>
      </rPr>
      <t xml:space="preserve"> values from the real-time PCR instrument run of your Samples' gDNA and the Control gDNA into the yellow section under the "Raw Data" column, Cells B2 through B97.
When a "Delete the Outlier" message appears in the "Message" column F, identify the obvious outlier C</t>
    </r>
    <r>
      <rPr>
        <vertAlign val="subscript"/>
        <sz val="11"/>
        <rFont val="Calibri"/>
        <family val="2"/>
        <scheme val="minor"/>
      </rPr>
      <t>T</t>
    </r>
    <r>
      <rPr>
        <sz val="11"/>
        <rFont val="Calibri"/>
        <family val="2"/>
        <scheme val="minor"/>
      </rPr>
      <t xml:space="preserve"> value in Column B and manually delete it to insure the "Message" disappears.
b. Input the Samples' names into the yellow Cells I2 through I16. Each Sample must have a unique name.
c. Input the Samples' concentrations (as measured by NanoDrop or other methods) into the yellow Cells J2 through J16.
d. Delete any "Raw Data", "Sample ID", and "Sample Conc" information provided as an example that is not yours.</t>
    </r>
  </si>
  <si>
    <r>
      <t xml:space="preserve">4. Results:
a. Quality Control Results: Assay QC:
</t>
    </r>
    <r>
      <rPr>
        <sz val="11"/>
        <rFont val="Calibri"/>
        <family val="2"/>
        <scheme val="minor"/>
      </rPr>
      <t xml:space="preserve">If the "Assay QC" for all the Samples' gDNA and the Control gDNA reports “Pass”, then the assays performed optimally.
If the Control gDNA "Assay QC" reports “Fail”, double check the assay setup and real-time PCR program.
If any Sample’s "Assay QC" reports "Fail", the Sample may contain PCR inhibitor contaminants.
</t>
    </r>
    <r>
      <rPr>
        <b/>
        <sz val="11"/>
        <rFont val="Calibri"/>
        <family val="2"/>
        <scheme val="minor"/>
      </rPr>
      <t xml:space="preserve">b. Quality Control Results: QC Score &amp; QC Call:
</t>
    </r>
    <r>
      <rPr>
        <sz val="11"/>
        <rFont val="Calibri"/>
        <family val="2"/>
        <scheme val="minor"/>
      </rPr>
      <t xml:space="preserve">The "QC Score" provides an indication of DNA Sample damage or fragmentation.
Samples with a "QC Score" &lt;= 0.04 are given a "High" "QC Call", meaning high quality DNA and a low degree of damage or fragmentation.
Samples with a "QC Score" &gt; 0.04 are given a "Low" "QC Call", meaning low quality DNA and a high degree damage or fragmentation.
Samples with a "Low" "QC Call" may only be suitable for detection of high-frequency variants.
</t>
    </r>
    <r>
      <rPr>
        <b/>
        <sz val="11"/>
        <rFont val="Calibri"/>
        <family val="2"/>
        <scheme val="minor"/>
      </rPr>
      <t xml:space="preserve">c. Sample Volume and Amount Recommended:
</t>
    </r>
    <r>
      <rPr>
        <sz val="11"/>
        <rFont val="Calibri"/>
        <family val="2"/>
        <scheme val="minor"/>
      </rPr>
      <t xml:space="preserve">Columns F and G list the "Sample Volume" and "Sample Amount” ranges that are recommended for each Sample. If possible, the highest amount of Samples should be used.
</t>
    </r>
    <r>
      <rPr>
        <b/>
        <sz val="11"/>
        <rFont val="Calibri"/>
        <family val="2"/>
        <scheme val="minor"/>
      </rPr>
      <t xml:space="preserve">d. Comments:
</t>
    </r>
    <r>
      <rPr>
        <sz val="11"/>
        <rFont val="Calibri"/>
        <family val="2"/>
        <scheme val="minor"/>
      </rPr>
      <t>Even if a Sample is noted with the "Comment" "We do not recommend proceeding with this Sample.", up to 500 ng of Sample gDNA may still be used if a Sample must be processed.</t>
    </r>
  </si>
  <si>
    <r>
      <t xml:space="preserve">2. Dispense 20 </t>
    </r>
    <r>
      <rPr>
        <sz val="11"/>
        <rFont val="Calibri"/>
        <family val="2"/>
      </rPr>
      <t>μL</t>
    </r>
    <r>
      <rPr>
        <sz val="11"/>
        <rFont val="Calibri"/>
        <family val="2"/>
        <scheme val="minor"/>
      </rPr>
      <t xml:space="preserve"> of each Sample-specific (up to the number of Samples being processed) and Control PCR Components Mix into the appropriate wells indicated by the Array Layout below.</t>
    </r>
  </si>
  <si>
    <t>Message</t>
  </si>
  <si>
    <r>
      <t>ng/</t>
    </r>
    <r>
      <rPr>
        <b/>
        <sz val="11"/>
        <rFont val="Symbol"/>
        <family val="1"/>
        <charset val="2"/>
      </rPr>
      <t>m</t>
    </r>
    <r>
      <rPr>
        <b/>
        <sz val="11"/>
        <rFont val="Calibri"/>
        <family val="2"/>
        <scheme val="minor"/>
      </rPr>
      <t xml:space="preserve">l-amplifiable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</si>
</sst>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5" x14ac:knownFonts="1">
    <font>
      <sz val="11"/>
      <color theme="1"/>
      <name val="Calibri"/>
      <family val="2"/>
      <scheme val="minor"/>
    </font>
    <font>
      <sz val="10"/>
      <name val="Arial"/>
      <family val="2"/>
    </font>
    <font>
      <sz val="10"/>
      <name val="Arial"/>
      <family val="2"/>
    </font>
    <font>
      <sz val="10"/>
      <name val="Calibri"/>
      <family val="2"/>
    </font>
    <font>
      <sz val="11"/>
      <color theme="1"/>
      <name val="Calibri"/>
      <family val="2"/>
      <scheme val="minor"/>
    </font>
    <font>
      <sz val="10"/>
      <color theme="1"/>
      <name val="Arial"/>
      <family val="2"/>
    </font>
    <font>
      <sz val="11"/>
      <color rgb="FFFF0000"/>
      <name val="Calibri"/>
      <family val="2"/>
      <scheme val="minor"/>
    </font>
    <font>
      <sz val="11"/>
      <color theme="0" tint="-0.14999847407452621"/>
      <name val="Calibri"/>
      <family val="2"/>
      <scheme val="minor"/>
    </font>
    <font>
      <sz val="11"/>
      <name val="Calibri"/>
      <family val="2"/>
      <scheme val="minor"/>
    </font>
    <font>
      <b/>
      <sz val="11"/>
      <color theme="1"/>
      <name val="Calibri"/>
      <family val="2"/>
      <scheme val="minor"/>
    </font>
    <font>
      <b/>
      <vertAlign val="subscript"/>
      <sz val="11"/>
      <color theme="1"/>
      <name val="Calibri"/>
      <family val="2"/>
      <scheme val="minor"/>
    </font>
    <font>
      <b/>
      <sz val="11"/>
      <name val="Calibri"/>
      <family val="2"/>
      <scheme val="minor"/>
    </font>
    <font>
      <b/>
      <sz val="11"/>
      <color indexed="8"/>
      <name val="Calibri"/>
      <family val="2"/>
      <scheme val="minor"/>
    </font>
    <font>
      <b/>
      <vertAlign val="subscript"/>
      <sz val="11"/>
      <name val="Calibri"/>
      <family val="2"/>
      <scheme val="minor"/>
    </font>
    <font>
      <b/>
      <sz val="11"/>
      <name val="Calibri"/>
      <family val="2"/>
    </font>
    <font>
      <b/>
      <u/>
      <sz val="11"/>
      <color theme="1"/>
      <name val="Calibri"/>
      <family val="2"/>
      <scheme val="minor"/>
    </font>
    <font>
      <sz val="11"/>
      <color indexed="8"/>
      <name val="Calibri"/>
      <family val="2"/>
      <scheme val="minor"/>
    </font>
    <font>
      <b/>
      <sz val="11"/>
      <color theme="1"/>
      <name val="Calibri"/>
      <family val="2"/>
    </font>
    <font>
      <sz val="11"/>
      <color theme="1"/>
      <name val="Calibri"/>
      <family val="2"/>
    </font>
    <font>
      <sz val="11"/>
      <name val="Calibri"/>
      <family val="2"/>
    </font>
    <font>
      <b/>
      <sz val="11"/>
      <color theme="1"/>
      <name val="Arial"/>
      <family val="2"/>
    </font>
    <font>
      <b/>
      <sz val="11"/>
      <name val="Arial"/>
      <family val="2"/>
    </font>
    <font>
      <b/>
      <sz val="11"/>
      <color rgb="FFFF0000"/>
      <name val="Calibri"/>
      <family val="2"/>
      <scheme val="minor"/>
    </font>
    <font>
      <vertAlign val="subscript"/>
      <sz val="11"/>
      <name val="Calibri"/>
      <family val="2"/>
      <scheme val="minor"/>
    </font>
    <font>
      <b/>
      <sz val="11"/>
      <name val="Symbol"/>
      <family val="1"/>
      <charset val="2"/>
    </font>
  </fonts>
  <fills count="7">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465926084170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2" fillId="0" borderId="0"/>
    <xf numFmtId="0" fontId="1" fillId="0" borderId="0"/>
    <xf numFmtId="0" fontId="5" fillId="0" borderId="0"/>
    <xf numFmtId="0" fontId="3" fillId="0" borderId="0"/>
    <xf numFmtId="0" fontId="4" fillId="0" borderId="0"/>
  </cellStyleXfs>
  <cellXfs count="163">
    <xf numFmtId="0" fontId="0" fillId="0" borderId="0" xfId="0"/>
    <xf numFmtId="164" fontId="6" fillId="0" borderId="0" xfId="0" applyNumberFormat="1" applyFont="1" applyBorder="1" applyAlignment="1">
      <alignment horizontal="center" vertical="center"/>
    </xf>
    <xf numFmtId="0" fontId="9"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1" fillId="4" borderId="1" xfId="1" applyFont="1" applyFill="1" applyBorder="1" applyAlignment="1">
      <alignment horizontal="center" vertical="center"/>
    </xf>
    <xf numFmtId="0" fontId="8" fillId="4" borderId="1" xfId="1" applyFont="1" applyFill="1" applyBorder="1" applyAlignment="1">
      <alignment vertical="center"/>
    </xf>
    <xf numFmtId="0" fontId="0" fillId="0" borderId="0" xfId="0" applyFont="1" applyAlignment="1">
      <alignment vertical="center"/>
    </xf>
    <xf numFmtId="0" fontId="0" fillId="3" borderId="1" xfId="0" applyFont="1" applyFill="1" applyBorder="1"/>
    <xf numFmtId="16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ont="1" applyFill="1" applyAlignment="1">
      <alignment vertical="center"/>
    </xf>
    <xf numFmtId="164" fontId="4" fillId="0" borderId="1" xfId="0" applyNumberFormat="1" applyFont="1" applyBorder="1" applyAlignment="1">
      <alignment horizontal="center" vertical="center"/>
    </xf>
    <xf numFmtId="0" fontId="11" fillId="2" borderId="1" xfId="1" applyFont="1" applyFill="1" applyBorder="1" applyAlignment="1">
      <alignment horizontal="center" vertical="center"/>
    </xf>
    <xf numFmtId="0" fontId="8" fillId="2" borderId="1" xfId="1" applyFont="1" applyFill="1" applyBorder="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8" fillId="6" borderId="1" xfId="1" applyFont="1" applyFill="1" applyBorder="1" applyAlignment="1">
      <alignment vertical="center"/>
    </xf>
    <xf numFmtId="0" fontId="4" fillId="6" borderId="1" xfId="0" applyFont="1" applyFill="1" applyBorder="1" applyAlignment="1">
      <alignment vertical="center"/>
    </xf>
    <xf numFmtId="0" fontId="11" fillId="6" borderId="14" xfId="1" applyFont="1" applyFill="1" applyBorder="1" applyAlignment="1">
      <alignment horizontal="center" vertical="center"/>
    </xf>
    <xf numFmtId="0" fontId="9" fillId="6" borderId="1" xfId="0" applyFont="1" applyFill="1" applyBorder="1" applyAlignment="1">
      <alignment horizontal="center" vertical="center"/>
    </xf>
    <xf numFmtId="2" fontId="4" fillId="0" borderId="1" xfId="0" applyNumberFormat="1" applyFont="1" applyBorder="1" applyAlignment="1">
      <alignment vertical="center"/>
    </xf>
    <xf numFmtId="0" fontId="8" fillId="0" borderId="1" xfId="0" applyFont="1" applyBorder="1" applyAlignment="1">
      <alignment vertical="center"/>
    </xf>
    <xf numFmtId="0" fontId="4" fillId="0" borderId="1" xfId="0" applyFont="1" applyBorder="1" applyAlignment="1">
      <alignment horizontal="center" vertical="center"/>
    </xf>
    <xf numFmtId="2" fontId="8" fillId="0" borderId="1" xfId="0" applyNumberFormat="1" applyFont="1" applyBorder="1" applyAlignment="1">
      <alignment vertical="center"/>
    </xf>
    <xf numFmtId="0" fontId="4" fillId="4" borderId="9"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4" fillId="0" borderId="0" xfId="3" applyFont="1" applyFill="1" applyBorder="1" applyAlignment="1">
      <alignment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0" fontId="8" fillId="0" borderId="0" xfId="3" applyFont="1" applyFill="1" applyBorder="1" applyAlignment="1">
      <alignment vertical="center" wrapText="1"/>
    </xf>
    <xf numFmtId="0" fontId="4" fillId="0" borderId="0" xfId="3" applyFont="1" applyAlignment="1">
      <alignment vertical="center" wrapText="1"/>
    </xf>
    <xf numFmtId="0" fontId="9" fillId="0" borderId="0" xfId="3" applyFont="1" applyFill="1" applyBorder="1" applyAlignment="1">
      <alignment vertical="center" wrapText="1"/>
    </xf>
    <xf numFmtId="0" fontId="9"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0" borderId="0" xfId="3" applyFont="1" applyFill="1" applyAlignment="1">
      <alignment horizontal="center" vertical="center" wrapText="1"/>
    </xf>
    <xf numFmtId="0" fontId="8" fillId="0" borderId="0" xfId="3" applyFont="1" applyFill="1" applyAlignment="1">
      <alignment vertical="center" wrapText="1"/>
    </xf>
    <xf numFmtId="0" fontId="9" fillId="0" borderId="8" xfId="0" applyFont="1" applyBorder="1" applyAlignment="1">
      <alignment vertical="center" wrapText="1"/>
    </xf>
    <xf numFmtId="0" fontId="9" fillId="0" borderId="10" xfId="0" applyFont="1" applyBorder="1" applyAlignment="1">
      <alignment horizontal="center" vertical="center" wrapText="1"/>
    </xf>
    <xf numFmtId="0" fontId="4" fillId="0" borderId="0" xfId="0" applyFont="1" applyFill="1" applyBorder="1" applyAlignment="1">
      <alignment vertical="center" wrapText="1"/>
    </xf>
    <xf numFmtId="0" fontId="11" fillId="0" borderId="0" xfId="3" applyFont="1" applyFill="1" applyBorder="1" applyAlignment="1">
      <alignment vertical="center" wrapText="1"/>
    </xf>
    <xf numFmtId="0" fontId="4" fillId="0" borderId="5" xfId="0" applyFont="1" applyBorder="1" applyAlignment="1">
      <alignment horizontal="center" vertical="center" wrapText="1"/>
    </xf>
    <xf numFmtId="0" fontId="4" fillId="4" borderId="6" xfId="0" applyFont="1" applyFill="1" applyBorder="1" applyAlignment="1">
      <alignment horizontal="center" vertical="center" wrapText="1"/>
    </xf>
    <xf numFmtId="0" fontId="9" fillId="0" borderId="0" xfId="0" applyFont="1" applyFill="1" applyBorder="1" applyAlignment="1">
      <alignment vertical="center" wrapText="1"/>
    </xf>
    <xf numFmtId="0" fontId="4" fillId="0" borderId="0" xfId="0" applyFont="1" applyBorder="1" applyAlignment="1">
      <alignment vertical="center" wrapText="1"/>
    </xf>
    <xf numFmtId="0" fontId="15" fillId="0" borderId="0" xfId="3" applyFont="1" applyAlignment="1">
      <alignment vertical="center" wrapText="1"/>
    </xf>
    <xf numFmtId="0" fontId="4" fillId="0" borderId="0" xfId="0" applyFont="1" applyAlignment="1">
      <alignment vertical="center" wrapText="1"/>
    </xf>
    <xf numFmtId="0" fontId="7" fillId="0" borderId="0" xfId="0" applyFont="1" applyFill="1" applyAlignment="1">
      <alignment vertical="center"/>
    </xf>
    <xf numFmtId="0" fontId="8" fillId="4" borderId="1" xfId="1" applyFont="1" applyFill="1" applyBorder="1" applyAlignment="1">
      <alignment horizontal="left" vertical="center"/>
    </xf>
    <xf numFmtId="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22" xfId="0" applyNumberFormat="1" applyFont="1" applyBorder="1" applyAlignment="1">
      <alignment horizontal="center" vertical="center"/>
    </xf>
    <xf numFmtId="0" fontId="8" fillId="0" borderId="22" xfId="0" applyFont="1" applyBorder="1" applyAlignment="1">
      <alignment horizontal="center" vertical="center"/>
    </xf>
    <xf numFmtId="1" fontId="0" fillId="4" borderId="22" xfId="0" applyNumberFormat="1" applyFont="1" applyFill="1" applyBorder="1" applyAlignment="1">
      <alignment horizontal="center" vertical="center"/>
    </xf>
    <xf numFmtId="164" fontId="4" fillId="0" borderId="0" xfId="0" applyNumberFormat="1" applyFont="1" applyAlignment="1">
      <alignment vertical="center"/>
    </xf>
    <xf numFmtId="165" fontId="4" fillId="0" borderId="0" xfId="0" applyNumberFormat="1" applyFont="1" applyAlignment="1">
      <alignment vertical="center"/>
    </xf>
    <xf numFmtId="165" fontId="0" fillId="4" borderId="1"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2" fontId="8" fillId="3" borderId="1" xfId="0" applyNumberFormat="1" applyFont="1" applyFill="1" applyBorder="1" applyAlignment="1">
      <alignment vertical="center"/>
    </xf>
    <xf numFmtId="2" fontId="8" fillId="6" borderId="1" xfId="2" applyNumberFormat="1" applyFont="1" applyFill="1" applyBorder="1" applyAlignment="1">
      <alignment vertical="center"/>
    </xf>
    <xf numFmtId="0" fontId="0" fillId="6" borderId="1" xfId="0" applyFont="1" applyFill="1" applyBorder="1" applyAlignment="1">
      <alignment vertical="center"/>
    </xf>
    <xf numFmtId="0" fontId="9" fillId="0" borderId="1" xfId="0" applyFont="1" applyBorder="1" applyAlignment="1">
      <alignment horizontal="center" vertical="center"/>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4" fillId="0" borderId="4" xfId="3" applyFont="1" applyBorder="1" applyAlignment="1">
      <alignment vertical="center" wrapText="1"/>
    </xf>
    <xf numFmtId="0" fontId="4" fillId="0" borderId="0" xfId="3" applyFont="1" applyBorder="1" applyAlignment="1">
      <alignment vertical="center" wrapText="1"/>
    </xf>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23" xfId="0" applyNumberFormat="1" applyFont="1" applyBorder="1" applyAlignment="1">
      <alignment horizontal="center" vertical="center"/>
    </xf>
    <xf numFmtId="0" fontId="8" fillId="0" borderId="2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8" fillId="0" borderId="24" xfId="0" applyFont="1" applyBorder="1" applyAlignment="1">
      <alignment horizontal="center" vertical="center"/>
    </xf>
    <xf numFmtId="165" fontId="4" fillId="0" borderId="23" xfId="0" applyNumberFormat="1" applyFont="1" applyBorder="1" applyAlignment="1">
      <alignment vertical="center"/>
    </xf>
    <xf numFmtId="0" fontId="0" fillId="0" borderId="5" xfId="0" applyFont="1" applyBorder="1" applyAlignment="1">
      <alignment horizontal="center" vertical="center" wrapText="1"/>
    </xf>
    <xf numFmtId="0" fontId="0" fillId="4" borderId="5"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1" fillId="6" borderId="14" xfId="1" applyFont="1" applyFill="1" applyBorder="1" applyAlignment="1">
      <alignment horizontal="center" vertical="center"/>
    </xf>
    <xf numFmtId="165" fontId="4" fillId="0" borderId="1" xfId="0" applyNumberFormat="1" applyFont="1" applyBorder="1" applyAlignment="1">
      <alignment horizontal="center" vertical="center"/>
    </xf>
    <xf numFmtId="2" fontId="8" fillId="0" borderId="24"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1" fontId="0" fillId="4" borderId="1" xfId="0" applyNumberFormat="1" applyFont="1" applyFill="1" applyBorder="1" applyAlignment="1">
      <alignment horizontal="center" vertical="center"/>
    </xf>
    <xf numFmtId="165" fontId="4" fillId="0" borderId="21" xfId="0" applyNumberFormat="1" applyFont="1" applyBorder="1" applyAlignment="1">
      <alignment vertical="center"/>
    </xf>
    <xf numFmtId="2" fontId="8" fillId="0" borderId="28"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0" xfId="3" applyFont="1" applyFill="1" applyBorder="1" applyAlignment="1">
      <alignment horizontal="center" vertical="center" wrapText="1"/>
    </xf>
    <xf numFmtId="0" fontId="8" fillId="0" borderId="26" xfId="0" applyNumberFormat="1" applyFont="1" applyBorder="1" applyAlignment="1">
      <alignment horizontal="left" vertical="center"/>
    </xf>
    <xf numFmtId="0" fontId="8" fillId="0" borderId="25" xfId="0" applyNumberFormat="1" applyFont="1" applyBorder="1" applyAlignment="1">
      <alignment horizontal="left" vertical="center"/>
    </xf>
    <xf numFmtId="165" fontId="0" fillId="3" borderId="1" xfId="0" applyNumberFormat="1" applyFont="1" applyFill="1" applyBorder="1" applyAlignment="1">
      <alignment horizontal="center"/>
    </xf>
    <xf numFmtId="0" fontId="11" fillId="0" borderId="1" xfId="1" applyFont="1" applyFill="1" applyBorder="1" applyAlignment="1">
      <alignment horizontal="center" vertical="center"/>
    </xf>
    <xf numFmtId="0" fontId="9" fillId="5" borderId="1" xfId="3" applyFont="1" applyFill="1" applyBorder="1" applyAlignment="1">
      <alignment horizontal="center" vertical="center"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9" xfId="0" applyFont="1" applyFill="1" applyBorder="1" applyAlignment="1">
      <alignment horizontal="left" vertical="center"/>
    </xf>
    <xf numFmtId="0" fontId="11" fillId="0" borderId="1" xfId="0" applyFont="1" applyFill="1" applyBorder="1" applyAlignment="1">
      <alignment horizontal="left" vertical="center" wrapText="1"/>
    </xf>
    <xf numFmtId="0" fontId="8" fillId="0" borderId="1" xfId="0" applyFont="1" applyFill="1" applyBorder="1" applyAlignment="1">
      <alignment vertical="center"/>
    </xf>
    <xf numFmtId="0" fontId="0" fillId="4" borderId="1" xfId="0" applyFont="1" applyFill="1" applyBorder="1" applyAlignment="1">
      <alignment horizontal="left" vertical="center" wrapText="1"/>
    </xf>
    <xf numFmtId="0" fontId="0" fillId="4" borderId="1" xfId="0" applyFont="1" applyFill="1" applyBorder="1" applyAlignment="1">
      <alignment vertical="center"/>
    </xf>
    <xf numFmtId="0" fontId="1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0" fillId="0" borderId="16" xfId="0" applyFont="1" applyFill="1" applyBorder="1" applyAlignment="1">
      <alignment vertical="center"/>
    </xf>
    <xf numFmtId="0" fontId="0" fillId="0" borderId="19" xfId="0" applyFont="1" applyFill="1" applyBorder="1" applyAlignment="1">
      <alignment vertical="center"/>
    </xf>
    <xf numFmtId="0" fontId="8" fillId="0" borderId="2" xfId="3" applyFont="1" applyFill="1" applyBorder="1" applyAlignment="1">
      <alignment horizontal="left" vertical="center" wrapText="1"/>
    </xf>
    <xf numFmtId="0" fontId="8" fillId="0" borderId="17"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15"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9" xfId="3" applyFont="1" applyFill="1" applyBorder="1" applyAlignment="1">
      <alignment horizontal="left" vertical="center" wrapText="1"/>
    </xf>
    <xf numFmtId="0" fontId="0"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19" xfId="3" applyFont="1" applyBorder="1" applyAlignment="1">
      <alignment horizontal="left" vertical="center" wrapText="1"/>
    </xf>
    <xf numFmtId="0" fontId="9" fillId="0" borderId="2" xfId="3" applyFont="1" applyBorder="1" applyAlignment="1">
      <alignment horizontal="left" vertical="center" wrapText="1"/>
    </xf>
    <xf numFmtId="0" fontId="9" fillId="0" borderId="17" xfId="3" applyFont="1" applyBorder="1" applyAlignment="1">
      <alignment horizontal="left" vertical="center" wrapText="1"/>
    </xf>
    <xf numFmtId="0" fontId="9" fillId="0" borderId="3" xfId="3" applyFont="1" applyBorder="1" applyAlignment="1">
      <alignment horizontal="left" vertical="center" wrapText="1"/>
    </xf>
    <xf numFmtId="0" fontId="0" fillId="0" borderId="4" xfId="3" applyFont="1" applyBorder="1" applyAlignment="1">
      <alignment horizontal="left" vertical="center" wrapText="1"/>
    </xf>
    <xf numFmtId="0" fontId="4" fillId="0" borderId="0" xfId="3" applyFont="1" applyBorder="1" applyAlignment="1">
      <alignment horizontal="left" vertical="center" wrapText="1"/>
    </xf>
    <xf numFmtId="0" fontId="4" fillId="0" borderId="5" xfId="3" applyFont="1" applyBorder="1" applyAlignment="1">
      <alignment horizontal="left" vertical="center" wrapText="1"/>
    </xf>
    <xf numFmtId="0" fontId="0" fillId="0" borderId="6" xfId="3" applyFont="1" applyBorder="1" applyAlignment="1">
      <alignment horizontal="left" vertical="center" wrapText="1"/>
    </xf>
    <xf numFmtId="0" fontId="4" fillId="0" borderId="18" xfId="3" applyFont="1" applyBorder="1" applyAlignment="1">
      <alignment horizontal="left" vertical="center" wrapText="1"/>
    </xf>
    <xf numFmtId="0" fontId="4" fillId="0" borderId="7" xfId="3" applyFont="1" applyBorder="1" applyAlignment="1">
      <alignment horizontal="left" vertical="center" wrapText="1"/>
    </xf>
    <xf numFmtId="0" fontId="0" fillId="0" borderId="2" xfId="3" applyFont="1" applyBorder="1" applyAlignment="1">
      <alignment horizontal="left" vertical="center" wrapText="1"/>
    </xf>
    <xf numFmtId="0" fontId="4" fillId="0" borderId="17" xfId="3" applyFont="1" applyBorder="1" applyAlignment="1">
      <alignment horizontal="left" vertical="center" wrapText="1"/>
    </xf>
    <xf numFmtId="0" fontId="4" fillId="0" borderId="0" xfId="3"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3" applyFont="1" applyBorder="1" applyAlignment="1">
      <alignment horizontal="left" vertical="center" wrapText="1"/>
    </xf>
    <xf numFmtId="0" fontId="0" fillId="0" borderId="5" xfId="3" applyFont="1" applyBorder="1" applyAlignment="1">
      <alignment horizontal="left" vertical="center" wrapText="1"/>
    </xf>
    <xf numFmtId="0" fontId="0" fillId="0" borderId="18" xfId="3" applyFont="1" applyBorder="1" applyAlignment="1">
      <alignment horizontal="left" vertical="center" wrapText="1"/>
    </xf>
    <xf numFmtId="0" fontId="0" fillId="0" borderId="7" xfId="3" applyFont="1" applyBorder="1" applyAlignment="1">
      <alignment horizontal="left" vertical="center" wrapText="1"/>
    </xf>
    <xf numFmtId="0" fontId="8" fillId="0" borderId="1" xfId="0" applyFont="1" applyBorder="1" applyAlignment="1">
      <alignment horizontal="center" vertical="center" wrapText="1"/>
    </xf>
    <xf numFmtId="164"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22" fillId="0" borderId="4" xfId="0" applyFont="1" applyBorder="1" applyAlignment="1">
      <alignment horizontal="left" vertical="center" wrapText="1"/>
    </xf>
    <xf numFmtId="0" fontId="11" fillId="0" borderId="31"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2" xfId="1" applyFont="1" applyFill="1" applyBorder="1" applyAlignment="1">
      <alignment horizontal="center" vertical="center"/>
    </xf>
    <xf numFmtId="0" fontId="11" fillId="0" borderId="20" xfId="1" applyFont="1" applyFill="1" applyBorder="1" applyAlignment="1">
      <alignment horizontal="center" vertical="center"/>
    </xf>
    <xf numFmtId="0" fontId="9" fillId="0" borderId="30" xfId="0" applyFont="1" applyBorder="1" applyAlignment="1">
      <alignment horizontal="center" vertical="center"/>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8" xfId="0" applyFont="1" applyBorder="1" applyAlignment="1">
      <alignment horizontal="left" vertical="center"/>
    </xf>
    <xf numFmtId="0" fontId="8" fillId="0" borderId="7" xfId="0" applyFont="1" applyBorder="1" applyAlignment="1">
      <alignment horizontal="left" vertical="center"/>
    </xf>
    <xf numFmtId="2" fontId="4" fillId="6" borderId="1" xfId="0" applyNumberFormat="1" applyFont="1" applyFill="1" applyBorder="1" applyAlignment="1">
      <alignment horizontal="right" vertical="center"/>
    </xf>
    <xf numFmtId="164" fontId="4" fillId="6" borderId="1" xfId="0" applyNumberFormat="1" applyFont="1" applyFill="1" applyBorder="1" applyAlignment="1">
      <alignment horizontal="right" vertical="center"/>
    </xf>
    <xf numFmtId="0" fontId="4"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11" fillId="6" borderId="14" xfId="1" applyFont="1" applyFill="1" applyBorder="1" applyAlignment="1">
      <alignment horizontal="center" vertical="center"/>
    </xf>
    <xf numFmtId="0" fontId="11" fillId="6" borderId="24" xfId="1" applyFont="1" applyFill="1" applyBorder="1" applyAlignment="1">
      <alignment horizontal="center" vertical="center"/>
    </xf>
  </cellXfs>
  <cellStyles count="6">
    <cellStyle name="Normal" xfId="0" builtinId="0"/>
    <cellStyle name="Normal 2" xfId="1"/>
    <cellStyle name="Normal 3" xfId="2"/>
    <cellStyle name="Normal 4" xfId="3"/>
    <cellStyle name="Standard 2" xfId="4"/>
    <cellStyle name="Standard 2 2" xf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13</xdr:row>
      <xdr:rowOff>38100</xdr:rowOff>
    </xdr:from>
    <xdr:to>
      <xdr:col>2</xdr:col>
      <xdr:colOff>1647825</xdr:colOff>
      <xdr:row>27</xdr:row>
      <xdr:rowOff>171450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2895600"/>
          <a:ext cx="2781300"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39</xdr:row>
      <xdr:rowOff>0</xdr:rowOff>
    </xdr:from>
    <xdr:to>
      <xdr:col>2</xdr:col>
      <xdr:colOff>1457326</xdr:colOff>
      <xdr:row>50</xdr:row>
      <xdr:rowOff>24749</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191500"/>
          <a:ext cx="5591176" cy="2120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13</xdr:row>
      <xdr:rowOff>133350</xdr:rowOff>
    </xdr:from>
    <xdr:to>
      <xdr:col>2</xdr:col>
      <xdr:colOff>1485900</xdr:colOff>
      <xdr:row>27</xdr:row>
      <xdr:rowOff>28575</xdr:rowOff>
    </xdr:to>
    <xdr:pic>
      <xdr:nvPicPr>
        <xdr:cNvPr id="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2609850"/>
          <a:ext cx="29241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2</xdr:col>
      <xdr:colOff>828675</xdr:colOff>
      <xdr:row>43</xdr:row>
      <xdr:rowOff>23812</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39000"/>
          <a:ext cx="5086350" cy="192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180975</xdr:colOff>
      <xdr:row>4</xdr:row>
      <xdr:rowOff>104775</xdr:rowOff>
    </xdr:from>
    <xdr:to>
      <xdr:col>10</xdr:col>
      <xdr:colOff>2925813</xdr:colOff>
      <xdr:row>19</xdr:row>
      <xdr:rowOff>51678</xdr:rowOff>
    </xdr:to>
    <xdr:pic>
      <xdr:nvPicPr>
        <xdr:cNvPr id="3" name="Picture 2"/>
        <xdr:cNvPicPr>
          <a:picLocks noChangeAspect="1"/>
        </xdr:cNvPicPr>
      </xdr:nvPicPr>
      <xdr:blipFill>
        <a:blip xmlns:r="http://schemas.openxmlformats.org/officeDocument/2006/relationships" r:embed="rId1"/>
        <a:stretch>
          <a:fillRect/>
        </a:stretch>
      </xdr:blipFill>
      <xdr:spPr>
        <a:xfrm>
          <a:off x="8658225" y="866775"/>
          <a:ext cx="2744838" cy="28044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69"/>
  <sheetViews>
    <sheetView tabSelected="1" zoomScaleNormal="100" workbookViewId="0">
      <selection sqref="A1:K1"/>
    </sheetView>
  </sheetViews>
  <sheetFormatPr defaultColWidth="9.140625" defaultRowHeight="15" x14ac:dyDescent="0.25"/>
  <cols>
    <col min="1" max="11" width="17.28515625" style="8" customWidth="1"/>
    <col min="12" max="12" width="5.7109375" style="51" customWidth="1"/>
    <col min="13" max="16" width="9.140625" style="51"/>
    <col min="17" max="201" width="9.140625" style="12"/>
    <col min="202" max="16384" width="9.140625" style="8"/>
  </cols>
  <sheetData>
    <row r="1" spans="1:16" ht="15" customHeight="1" x14ac:dyDescent="0.25">
      <c r="A1" s="100" t="s">
        <v>159</v>
      </c>
      <c r="B1" s="101"/>
      <c r="C1" s="101"/>
      <c r="D1" s="101"/>
      <c r="E1" s="101"/>
      <c r="F1" s="101"/>
      <c r="G1" s="101"/>
      <c r="H1" s="101"/>
      <c r="I1" s="101"/>
      <c r="J1" s="101"/>
      <c r="K1" s="101"/>
    </row>
    <row r="2" spans="1:16" ht="15" customHeight="1" x14ac:dyDescent="0.25">
      <c r="A2" s="102" t="s">
        <v>12</v>
      </c>
      <c r="B2" s="103"/>
      <c r="C2" s="103"/>
      <c r="D2" s="103"/>
      <c r="E2" s="103"/>
      <c r="F2" s="103"/>
      <c r="G2" s="103"/>
      <c r="H2" s="103"/>
      <c r="I2" s="103"/>
      <c r="J2" s="103"/>
      <c r="K2" s="103"/>
    </row>
    <row r="3" spans="1:16" ht="30" customHeight="1" x14ac:dyDescent="0.25">
      <c r="A3" s="104" t="s">
        <v>142</v>
      </c>
      <c r="B3" s="105"/>
      <c r="C3" s="105"/>
      <c r="D3" s="105"/>
      <c r="E3" s="105"/>
      <c r="F3" s="105"/>
      <c r="G3" s="105"/>
      <c r="H3" s="105"/>
      <c r="I3" s="105"/>
      <c r="J3" s="105"/>
      <c r="K3" s="105"/>
    </row>
    <row r="4" spans="1:16" ht="30" customHeight="1" x14ac:dyDescent="0.25">
      <c r="A4" s="104" t="s">
        <v>143</v>
      </c>
      <c r="B4" s="105"/>
      <c r="C4" s="105"/>
      <c r="D4" s="105"/>
      <c r="E4" s="105"/>
      <c r="F4" s="105"/>
      <c r="G4" s="105"/>
      <c r="H4" s="105"/>
      <c r="I4" s="105"/>
      <c r="J4" s="105"/>
      <c r="K4" s="105"/>
    </row>
    <row r="5" spans="1:16" ht="105" customHeight="1" x14ac:dyDescent="0.25">
      <c r="A5" s="106" t="s">
        <v>160</v>
      </c>
      <c r="B5" s="107"/>
      <c r="C5" s="107"/>
      <c r="D5" s="107"/>
      <c r="E5" s="107"/>
      <c r="F5" s="107"/>
      <c r="G5" s="107"/>
      <c r="H5" s="107"/>
      <c r="I5" s="107"/>
      <c r="J5" s="107"/>
      <c r="K5" s="108"/>
    </row>
    <row r="6" spans="1:16" ht="210" customHeight="1" x14ac:dyDescent="0.25">
      <c r="A6" s="100" t="s">
        <v>161</v>
      </c>
      <c r="B6" s="100"/>
      <c r="C6" s="100"/>
      <c r="D6" s="100"/>
      <c r="E6" s="100"/>
      <c r="F6" s="100"/>
      <c r="G6" s="100"/>
      <c r="H6" s="100"/>
      <c r="I6" s="100"/>
      <c r="J6" s="100"/>
      <c r="K6" s="100"/>
    </row>
    <row r="7" spans="1:16" s="12" customFormat="1" x14ac:dyDescent="0.25">
      <c r="A7" s="97" t="s">
        <v>157</v>
      </c>
      <c r="B7" s="98"/>
      <c r="C7" s="98"/>
      <c r="D7" s="98"/>
      <c r="E7" s="98"/>
      <c r="F7" s="98"/>
      <c r="G7" s="98"/>
      <c r="H7" s="98"/>
      <c r="I7" s="98"/>
      <c r="J7" s="98"/>
      <c r="K7" s="99"/>
      <c r="L7" s="51"/>
      <c r="M7" s="51"/>
      <c r="N7" s="51"/>
      <c r="O7" s="51"/>
      <c r="P7" s="51"/>
    </row>
    <row r="8" spans="1:16" s="12" customFormat="1" x14ac:dyDescent="0.25">
      <c r="L8" s="51"/>
      <c r="M8" s="51"/>
      <c r="N8" s="51"/>
      <c r="O8" s="51"/>
      <c r="P8" s="51"/>
    </row>
    <row r="9" spans="1:16" s="12" customFormat="1" x14ac:dyDescent="0.25">
      <c r="L9" s="51"/>
      <c r="M9" s="51"/>
      <c r="N9" s="51"/>
      <c r="O9" s="51"/>
      <c r="P9" s="51"/>
    </row>
    <row r="10" spans="1:16" s="12" customFormat="1" x14ac:dyDescent="0.25">
      <c r="L10" s="51"/>
      <c r="M10" s="51"/>
      <c r="N10" s="51"/>
      <c r="O10" s="51"/>
      <c r="P10" s="51"/>
    </row>
    <row r="11" spans="1:16" s="12" customFormat="1" x14ac:dyDescent="0.25">
      <c r="L11" s="51"/>
      <c r="M11" s="51"/>
      <c r="N11" s="51"/>
      <c r="O11" s="51"/>
      <c r="P11" s="51"/>
    </row>
    <row r="12" spans="1:16" s="12" customFormat="1" x14ac:dyDescent="0.25">
      <c r="L12" s="51"/>
      <c r="M12" s="51"/>
      <c r="N12" s="51"/>
      <c r="O12" s="51"/>
      <c r="P12" s="51"/>
    </row>
    <row r="13" spans="1:16" s="12" customFormat="1" x14ac:dyDescent="0.25">
      <c r="L13" s="51"/>
      <c r="M13" s="51"/>
      <c r="N13" s="51"/>
      <c r="O13" s="51"/>
      <c r="P13" s="51"/>
    </row>
    <row r="14" spans="1:16" s="12" customFormat="1" x14ac:dyDescent="0.25">
      <c r="L14" s="51"/>
      <c r="M14" s="51"/>
      <c r="N14" s="51"/>
      <c r="O14" s="51"/>
      <c r="P14" s="51"/>
    </row>
    <row r="15" spans="1:16" s="12" customFormat="1" x14ac:dyDescent="0.25">
      <c r="L15" s="51"/>
      <c r="M15" s="51"/>
      <c r="N15" s="51"/>
      <c r="O15" s="51"/>
      <c r="P15" s="51"/>
    </row>
    <row r="16" spans="1:16" s="12" customFormat="1" x14ac:dyDescent="0.25">
      <c r="L16" s="51"/>
      <c r="M16" s="51"/>
      <c r="N16" s="51"/>
      <c r="O16" s="51"/>
      <c r="P16" s="51"/>
    </row>
    <row r="17" spans="12:16" s="12" customFormat="1" x14ac:dyDescent="0.25">
      <c r="L17" s="51"/>
      <c r="M17" s="51"/>
      <c r="N17" s="51"/>
      <c r="O17" s="51"/>
      <c r="P17" s="51"/>
    </row>
    <row r="18" spans="12:16" s="12" customFormat="1" x14ac:dyDescent="0.25">
      <c r="L18" s="51"/>
      <c r="M18" s="51"/>
      <c r="N18" s="51"/>
      <c r="O18" s="51"/>
      <c r="P18" s="51"/>
    </row>
    <row r="19" spans="12:16" s="12" customFormat="1" x14ac:dyDescent="0.25">
      <c r="L19" s="51"/>
      <c r="M19" s="51"/>
      <c r="N19" s="51"/>
      <c r="O19" s="51"/>
      <c r="P19" s="51"/>
    </row>
    <row r="20" spans="12:16" s="12" customFormat="1" x14ac:dyDescent="0.25">
      <c r="L20" s="51"/>
      <c r="M20" s="51"/>
      <c r="N20" s="51"/>
      <c r="O20" s="51"/>
      <c r="P20" s="51"/>
    </row>
    <row r="21" spans="12:16" s="12" customFormat="1" x14ac:dyDescent="0.25">
      <c r="L21" s="51"/>
      <c r="M21" s="51"/>
      <c r="N21" s="51"/>
      <c r="O21" s="51"/>
      <c r="P21" s="51"/>
    </row>
    <row r="22" spans="12:16" s="12" customFormat="1" x14ac:dyDescent="0.25">
      <c r="L22" s="51"/>
      <c r="M22" s="51"/>
      <c r="N22" s="51"/>
      <c r="O22" s="51"/>
      <c r="P22" s="51"/>
    </row>
    <row r="23" spans="12:16" s="12" customFormat="1" x14ac:dyDescent="0.25">
      <c r="L23" s="51"/>
      <c r="M23" s="51"/>
      <c r="N23" s="51"/>
      <c r="O23" s="51"/>
      <c r="P23" s="51"/>
    </row>
    <row r="24" spans="12:16" s="12" customFormat="1" x14ac:dyDescent="0.25">
      <c r="L24" s="51"/>
      <c r="M24" s="51"/>
      <c r="N24" s="51"/>
      <c r="O24" s="51"/>
      <c r="P24" s="51"/>
    </row>
    <row r="25" spans="12:16" s="12" customFormat="1" x14ac:dyDescent="0.25">
      <c r="L25" s="51"/>
      <c r="M25" s="51"/>
      <c r="N25" s="51"/>
      <c r="O25" s="51"/>
      <c r="P25" s="51"/>
    </row>
    <row r="26" spans="12:16" s="12" customFormat="1" x14ac:dyDescent="0.25">
      <c r="L26" s="51"/>
      <c r="M26" s="51"/>
      <c r="N26" s="51"/>
      <c r="O26" s="51"/>
      <c r="P26" s="51"/>
    </row>
    <row r="27" spans="12:16" s="12" customFormat="1" x14ac:dyDescent="0.25">
      <c r="L27" s="51"/>
      <c r="M27" s="51"/>
      <c r="N27" s="51"/>
      <c r="O27" s="51"/>
      <c r="P27" s="51"/>
    </row>
    <row r="28" spans="12:16" s="12" customFormat="1" x14ac:dyDescent="0.25">
      <c r="L28" s="51"/>
      <c r="M28" s="51"/>
      <c r="N28" s="51"/>
      <c r="O28" s="51"/>
      <c r="P28" s="51"/>
    </row>
    <row r="29" spans="12:16" s="12" customFormat="1" x14ac:dyDescent="0.25">
      <c r="L29" s="51"/>
      <c r="M29" s="51"/>
      <c r="N29" s="51"/>
      <c r="O29" s="51"/>
      <c r="P29" s="51"/>
    </row>
    <row r="30" spans="12:16" s="12" customFormat="1" x14ac:dyDescent="0.25">
      <c r="L30" s="51"/>
      <c r="M30" s="51"/>
      <c r="N30" s="51"/>
      <c r="O30" s="51"/>
      <c r="P30" s="51"/>
    </row>
    <row r="31" spans="12:16" s="12" customFormat="1" x14ac:dyDescent="0.25">
      <c r="L31" s="51"/>
      <c r="M31" s="51"/>
      <c r="N31" s="51"/>
      <c r="O31" s="51"/>
      <c r="P31" s="51"/>
    </row>
    <row r="32" spans="12:16" s="12" customFormat="1" x14ac:dyDescent="0.25">
      <c r="L32" s="51"/>
      <c r="M32" s="51"/>
      <c r="N32" s="51"/>
      <c r="O32" s="51"/>
      <c r="P32" s="51"/>
    </row>
    <row r="33" spans="12:16" s="12" customFormat="1" x14ac:dyDescent="0.25">
      <c r="L33" s="51"/>
      <c r="M33" s="51"/>
      <c r="N33" s="51"/>
      <c r="O33" s="51"/>
      <c r="P33" s="51"/>
    </row>
    <row r="34" spans="12:16" s="12" customFormat="1" x14ac:dyDescent="0.25">
      <c r="L34" s="51"/>
      <c r="M34" s="51"/>
      <c r="N34" s="51"/>
      <c r="O34" s="51"/>
      <c r="P34" s="51"/>
    </row>
    <row r="35" spans="12:16" s="12" customFormat="1" x14ac:dyDescent="0.25">
      <c r="L35" s="51"/>
      <c r="M35" s="51"/>
      <c r="N35" s="51"/>
      <c r="O35" s="51"/>
      <c r="P35" s="51"/>
    </row>
    <row r="36" spans="12:16" s="12" customFormat="1" x14ac:dyDescent="0.25">
      <c r="L36" s="51"/>
      <c r="M36" s="51"/>
      <c r="N36" s="51"/>
      <c r="O36" s="51"/>
      <c r="P36" s="51"/>
    </row>
    <row r="37" spans="12:16" s="12" customFormat="1" x14ac:dyDescent="0.25">
      <c r="L37" s="51"/>
      <c r="M37" s="51"/>
      <c r="N37" s="51"/>
      <c r="O37" s="51"/>
      <c r="P37" s="51"/>
    </row>
    <row r="38" spans="12:16" s="12" customFormat="1" x14ac:dyDescent="0.25">
      <c r="L38" s="51"/>
      <c r="M38" s="51"/>
      <c r="N38" s="51"/>
      <c r="O38" s="51"/>
      <c r="P38" s="51"/>
    </row>
    <row r="39" spans="12:16" s="12" customFormat="1" x14ac:dyDescent="0.25">
      <c r="L39" s="51"/>
      <c r="M39" s="51"/>
      <c r="N39" s="51"/>
      <c r="O39" s="51"/>
      <c r="P39" s="51"/>
    </row>
    <row r="40" spans="12:16" s="12" customFormat="1" x14ac:dyDescent="0.25">
      <c r="L40" s="51"/>
      <c r="M40" s="51"/>
      <c r="N40" s="51"/>
      <c r="O40" s="51"/>
      <c r="P40" s="51"/>
    </row>
    <row r="41" spans="12:16" s="12" customFormat="1" x14ac:dyDescent="0.25">
      <c r="L41" s="51"/>
      <c r="M41" s="51"/>
      <c r="N41" s="51"/>
      <c r="O41" s="51"/>
      <c r="P41" s="51"/>
    </row>
    <row r="42" spans="12:16" s="12" customFormat="1" x14ac:dyDescent="0.25">
      <c r="L42" s="51"/>
      <c r="M42" s="51"/>
      <c r="N42" s="51"/>
      <c r="O42" s="51"/>
      <c r="P42" s="51"/>
    </row>
    <row r="43" spans="12:16" s="12" customFormat="1" x14ac:dyDescent="0.25">
      <c r="L43" s="51"/>
      <c r="M43" s="51"/>
      <c r="N43" s="51"/>
      <c r="O43" s="51"/>
      <c r="P43" s="51"/>
    </row>
    <row r="44" spans="12:16" s="12" customFormat="1" x14ac:dyDescent="0.25">
      <c r="L44" s="51"/>
      <c r="M44" s="51"/>
      <c r="N44" s="51"/>
      <c r="O44" s="51"/>
      <c r="P44" s="51"/>
    </row>
    <row r="45" spans="12:16" s="12" customFormat="1" x14ac:dyDescent="0.25">
      <c r="L45" s="51"/>
      <c r="M45" s="51"/>
      <c r="N45" s="51"/>
      <c r="O45" s="51"/>
      <c r="P45" s="51"/>
    </row>
    <row r="46" spans="12:16" s="12" customFormat="1" x14ac:dyDescent="0.25">
      <c r="L46" s="51"/>
      <c r="M46" s="51"/>
      <c r="N46" s="51"/>
      <c r="O46" s="51"/>
      <c r="P46" s="51"/>
    </row>
    <row r="47" spans="12:16" s="12" customFormat="1" x14ac:dyDescent="0.25">
      <c r="L47" s="51"/>
      <c r="M47" s="51"/>
      <c r="N47" s="51"/>
      <c r="O47" s="51"/>
      <c r="P47" s="51"/>
    </row>
    <row r="48" spans="12:16" s="12" customFormat="1" x14ac:dyDescent="0.25">
      <c r="L48" s="51"/>
      <c r="M48" s="51"/>
      <c r="N48" s="51"/>
      <c r="O48" s="51"/>
      <c r="P48" s="51"/>
    </row>
    <row r="49" spans="12:16" s="12" customFormat="1" x14ac:dyDescent="0.25">
      <c r="L49" s="51"/>
      <c r="M49" s="51"/>
      <c r="N49" s="51"/>
      <c r="O49" s="51"/>
      <c r="P49" s="51"/>
    </row>
    <row r="50" spans="12:16" s="12" customFormat="1" x14ac:dyDescent="0.25">
      <c r="L50" s="51"/>
      <c r="M50" s="51"/>
      <c r="N50" s="51"/>
      <c r="O50" s="51"/>
      <c r="P50" s="51"/>
    </row>
    <row r="51" spans="12:16" s="12" customFormat="1" x14ac:dyDescent="0.25">
      <c r="L51" s="51"/>
      <c r="M51" s="51"/>
      <c r="N51" s="51"/>
      <c r="O51" s="51"/>
      <c r="P51" s="51"/>
    </row>
    <row r="52" spans="12:16" s="12" customFormat="1" x14ac:dyDescent="0.25">
      <c r="L52" s="51"/>
      <c r="M52" s="51"/>
      <c r="N52" s="51"/>
      <c r="O52" s="51"/>
      <c r="P52" s="51"/>
    </row>
    <row r="53" spans="12:16" s="12" customFormat="1" x14ac:dyDescent="0.25">
      <c r="L53" s="51"/>
      <c r="M53" s="51"/>
      <c r="N53" s="51"/>
      <c r="O53" s="51"/>
      <c r="P53" s="51"/>
    </row>
    <row r="54" spans="12:16" s="12" customFormat="1" x14ac:dyDescent="0.25">
      <c r="L54" s="51"/>
      <c r="M54" s="51"/>
      <c r="N54" s="51"/>
      <c r="O54" s="51"/>
      <c r="P54" s="51"/>
    </row>
    <row r="55" spans="12:16" s="12" customFormat="1" x14ac:dyDescent="0.25">
      <c r="L55" s="51"/>
      <c r="M55" s="51"/>
      <c r="N55" s="51"/>
      <c r="O55" s="51"/>
      <c r="P55" s="51"/>
    </row>
    <row r="56" spans="12:16" s="12" customFormat="1" x14ac:dyDescent="0.25">
      <c r="L56" s="51"/>
      <c r="M56" s="51"/>
      <c r="N56" s="51"/>
      <c r="O56" s="51"/>
      <c r="P56" s="51"/>
    </row>
    <row r="57" spans="12:16" s="12" customFormat="1" x14ac:dyDescent="0.25">
      <c r="L57" s="51"/>
      <c r="M57" s="51"/>
      <c r="N57" s="51"/>
      <c r="O57" s="51"/>
      <c r="P57" s="51"/>
    </row>
    <row r="58" spans="12:16" s="12" customFormat="1" x14ac:dyDescent="0.25">
      <c r="L58" s="51"/>
      <c r="M58" s="51"/>
      <c r="N58" s="51"/>
      <c r="O58" s="51"/>
      <c r="P58" s="51"/>
    </row>
    <row r="59" spans="12:16" s="12" customFormat="1" x14ac:dyDescent="0.25">
      <c r="L59" s="51"/>
      <c r="M59" s="51"/>
      <c r="N59" s="51"/>
      <c r="O59" s="51"/>
      <c r="P59" s="51"/>
    </row>
    <row r="60" spans="12:16" s="12" customFormat="1" x14ac:dyDescent="0.25">
      <c r="L60" s="51"/>
      <c r="M60" s="51"/>
      <c r="N60" s="51"/>
      <c r="O60" s="51"/>
      <c r="P60" s="51"/>
    </row>
    <row r="61" spans="12:16" s="12" customFormat="1" x14ac:dyDescent="0.25">
      <c r="L61" s="51"/>
      <c r="M61" s="51"/>
      <c r="N61" s="51"/>
      <c r="O61" s="51"/>
      <c r="P61" s="51"/>
    </row>
    <row r="62" spans="12:16" s="12" customFormat="1" x14ac:dyDescent="0.25">
      <c r="L62" s="51"/>
      <c r="M62" s="51"/>
      <c r="N62" s="51"/>
      <c r="O62" s="51"/>
      <c r="P62" s="51"/>
    </row>
    <row r="63" spans="12:16" s="12" customFormat="1" x14ac:dyDescent="0.25">
      <c r="L63" s="51"/>
      <c r="M63" s="51"/>
      <c r="N63" s="51"/>
      <c r="O63" s="51"/>
      <c r="P63" s="51"/>
    </row>
    <row r="64" spans="12:16" s="12" customFormat="1" x14ac:dyDescent="0.25">
      <c r="L64" s="51"/>
      <c r="M64" s="51"/>
      <c r="N64" s="51"/>
      <c r="O64" s="51"/>
      <c r="P64" s="51"/>
    </row>
    <row r="65" spans="12:16" s="12" customFormat="1" x14ac:dyDescent="0.25">
      <c r="L65" s="51"/>
      <c r="M65" s="51"/>
      <c r="N65" s="51"/>
      <c r="O65" s="51"/>
      <c r="P65" s="51"/>
    </row>
    <row r="66" spans="12:16" s="12" customFormat="1" x14ac:dyDescent="0.25">
      <c r="L66" s="51"/>
      <c r="M66" s="51"/>
      <c r="N66" s="51"/>
      <c r="O66" s="51"/>
      <c r="P66" s="51"/>
    </row>
    <row r="67" spans="12:16" s="12" customFormat="1" x14ac:dyDescent="0.25">
      <c r="L67" s="51"/>
      <c r="M67" s="51"/>
      <c r="N67" s="51"/>
      <c r="O67" s="51"/>
      <c r="P67" s="51"/>
    </row>
    <row r="68" spans="12:16" s="12" customFormat="1" x14ac:dyDescent="0.25">
      <c r="L68" s="51"/>
      <c r="M68" s="51"/>
      <c r="N68" s="51"/>
      <c r="O68" s="51"/>
      <c r="P68" s="51"/>
    </row>
    <row r="69" spans="12:16" s="12" customFormat="1" x14ac:dyDescent="0.25">
      <c r="L69" s="51"/>
      <c r="M69" s="51"/>
      <c r="N69" s="51"/>
      <c r="O69" s="51"/>
      <c r="P69" s="51"/>
    </row>
  </sheetData>
  <mergeCells count="7">
    <mergeCell ref="A7:K7"/>
    <mergeCell ref="A6:K6"/>
    <mergeCell ref="A1:K1"/>
    <mergeCell ref="A2:K2"/>
    <mergeCell ref="A3:K3"/>
    <mergeCell ref="A4:K4"/>
    <mergeCell ref="A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zoomScaleNormal="100" workbookViewId="0">
      <selection activeCell="E7" sqref="E7"/>
    </sheetView>
  </sheetViews>
  <sheetFormatPr defaultColWidth="11.42578125" defaultRowHeight="15" customHeight="1" x14ac:dyDescent="0.25"/>
  <cols>
    <col min="1" max="1" width="35.7109375" style="33" customWidth="1"/>
    <col min="2" max="2" width="26.7109375" style="33" customWidth="1"/>
    <col min="3" max="3" width="35.7109375" style="33" customWidth="1"/>
    <col min="4" max="4" width="15.7109375" style="33" customWidth="1"/>
    <col min="5" max="5" width="18.7109375" style="33" customWidth="1"/>
    <col min="6" max="6" width="15.7109375" style="33" customWidth="1"/>
    <col min="7" max="16384" width="11.42578125" style="33"/>
  </cols>
  <sheetData>
    <row r="1" spans="1:16" ht="15" customHeight="1" x14ac:dyDescent="0.25">
      <c r="A1" s="118" t="s">
        <v>121</v>
      </c>
      <c r="B1" s="119"/>
      <c r="C1" s="119"/>
      <c r="D1" s="119"/>
      <c r="E1" s="119"/>
      <c r="F1" s="120"/>
    </row>
    <row r="2" spans="1:16" ht="15" customHeight="1" x14ac:dyDescent="0.25">
      <c r="A2" s="121" t="s">
        <v>141</v>
      </c>
      <c r="B2" s="122"/>
      <c r="C2" s="122"/>
      <c r="D2" s="122"/>
      <c r="E2" s="122"/>
      <c r="F2" s="123"/>
    </row>
    <row r="3" spans="1:16" ht="15" customHeight="1" x14ac:dyDescent="0.25">
      <c r="A3" s="124" t="s">
        <v>138</v>
      </c>
      <c r="B3" s="125"/>
      <c r="C3" s="125"/>
      <c r="D3" s="125"/>
      <c r="E3" s="125"/>
      <c r="F3" s="126"/>
    </row>
    <row r="5" spans="1:16" ht="45" customHeight="1" thickBot="1" x14ac:dyDescent="0.3">
      <c r="A5" s="127" t="s">
        <v>147</v>
      </c>
      <c r="B5" s="128"/>
      <c r="C5" s="116"/>
      <c r="D5" s="116"/>
      <c r="E5" s="116"/>
      <c r="F5" s="117"/>
    </row>
    <row r="6" spans="1:16" ht="15" customHeight="1" thickBot="1" x14ac:dyDescent="0.3">
      <c r="A6" s="67" t="s">
        <v>1</v>
      </c>
      <c r="B6" s="82" t="s">
        <v>86</v>
      </c>
      <c r="C6" s="68" t="s">
        <v>158</v>
      </c>
      <c r="E6" s="34" t="s">
        <v>34</v>
      </c>
    </row>
    <row r="7" spans="1:16" ht="15" customHeight="1" x14ac:dyDescent="0.25">
      <c r="A7" s="35" t="s">
        <v>2</v>
      </c>
      <c r="B7" s="36" t="str">
        <f>IF(ISNUMBER(E7),17.16*(E7+1),"enter number in yellow box")</f>
        <v>enter number in yellow box</v>
      </c>
      <c r="C7" s="36" t="s">
        <v>95</v>
      </c>
      <c r="E7" s="96" t="s">
        <v>98</v>
      </c>
    </row>
    <row r="8" spans="1:16" ht="15" customHeight="1" x14ac:dyDescent="0.25">
      <c r="A8" s="28" t="s">
        <v>122</v>
      </c>
      <c r="B8" s="27" t="str">
        <f>IF(ISNUMBER(E7),33*(E7+1),"enter number in yellow box")</f>
        <v>enter number in yellow box</v>
      </c>
      <c r="C8" s="27" t="s">
        <v>95</v>
      </c>
      <c r="D8" s="29"/>
      <c r="E8" s="29"/>
    </row>
    <row r="9" spans="1:16" ht="15" customHeight="1" x14ac:dyDescent="0.25">
      <c r="A9" s="35" t="s">
        <v>31</v>
      </c>
      <c r="B9" s="36" t="str">
        <f>IF(ISNUMBER(E7),2.64*(E7+1),"enter number in yellow box")</f>
        <v>enter number in yellow box</v>
      </c>
      <c r="C9" s="36" t="s">
        <v>96</v>
      </c>
      <c r="D9" s="29"/>
      <c r="E9" s="29"/>
    </row>
    <row r="10" spans="1:16" ht="15" customHeight="1" thickBot="1" x14ac:dyDescent="0.3">
      <c r="A10" s="37" t="s">
        <v>30</v>
      </c>
      <c r="B10" s="38" t="str">
        <f>IF(ISNUMBER(E7),52.8*(E7+1),"enter number in yellow box")</f>
        <v>enter number in yellow box</v>
      </c>
      <c r="C10" s="38" t="s">
        <v>97</v>
      </c>
      <c r="D10" s="29"/>
      <c r="E10" s="29"/>
    </row>
    <row r="11" spans="1:16" ht="15" customHeight="1" x14ac:dyDescent="0.25">
      <c r="D11" s="29"/>
      <c r="E11" s="29"/>
    </row>
    <row r="12" spans="1:16" ht="30" customHeight="1" x14ac:dyDescent="0.25">
      <c r="A12" s="112" t="s">
        <v>144</v>
      </c>
      <c r="B12" s="113"/>
      <c r="C12" s="113"/>
      <c r="D12" s="113"/>
      <c r="E12" s="113"/>
      <c r="F12" s="114"/>
    </row>
    <row r="13" spans="1:16" ht="15" customHeight="1" x14ac:dyDescent="0.25">
      <c r="A13" s="39"/>
      <c r="B13" s="39"/>
      <c r="C13" s="39"/>
      <c r="D13" s="39"/>
      <c r="E13" s="29"/>
      <c r="F13" s="29"/>
    </row>
    <row r="14" spans="1:16" ht="15" customHeight="1" x14ac:dyDescent="0.25">
      <c r="A14" s="39"/>
      <c r="B14" s="39"/>
      <c r="C14" s="39"/>
      <c r="D14" s="39"/>
      <c r="E14" s="29"/>
      <c r="F14" s="29"/>
      <c r="G14" s="29"/>
      <c r="H14" s="29"/>
      <c r="I14" s="29"/>
      <c r="J14" s="29"/>
      <c r="K14" s="29"/>
      <c r="L14" s="29"/>
      <c r="M14" s="29"/>
      <c r="N14" s="29"/>
      <c r="O14" s="29"/>
      <c r="P14" s="29"/>
    </row>
    <row r="15" spans="1:16" ht="15" customHeight="1" x14ac:dyDescent="0.25">
      <c r="A15" s="39"/>
      <c r="B15" s="39"/>
      <c r="C15" s="39"/>
      <c r="D15" s="39"/>
      <c r="E15" s="29"/>
      <c r="F15" s="29"/>
      <c r="G15" s="29"/>
      <c r="H15" s="29"/>
      <c r="I15" s="29"/>
      <c r="J15" s="29"/>
      <c r="K15" s="29"/>
      <c r="L15" s="29"/>
      <c r="M15" s="29"/>
      <c r="N15" s="29"/>
      <c r="O15" s="29"/>
      <c r="P15" s="29"/>
    </row>
    <row r="16" spans="1:16" ht="15" customHeight="1" x14ac:dyDescent="0.25">
      <c r="A16" s="39"/>
      <c r="B16" s="39"/>
      <c r="C16" s="39"/>
      <c r="D16" s="39"/>
      <c r="E16" s="29"/>
      <c r="F16" s="29"/>
      <c r="G16" s="29"/>
      <c r="H16" s="29"/>
      <c r="I16" s="29"/>
      <c r="J16" s="29"/>
      <c r="K16" s="29"/>
      <c r="L16" s="29"/>
      <c r="M16" s="29"/>
      <c r="N16" s="29"/>
      <c r="O16" s="29"/>
      <c r="P16" s="29"/>
    </row>
    <row r="17" spans="1:16" ht="15" customHeight="1" x14ac:dyDescent="0.25">
      <c r="A17" s="39"/>
      <c r="B17" s="39"/>
      <c r="C17" s="39"/>
      <c r="D17" s="39"/>
      <c r="E17" s="29"/>
      <c r="F17" s="29"/>
      <c r="G17" s="29"/>
      <c r="H17" s="29"/>
      <c r="I17" s="29"/>
      <c r="J17" s="29"/>
      <c r="K17" s="29"/>
      <c r="L17" s="29"/>
      <c r="M17" s="29"/>
      <c r="N17" s="29"/>
      <c r="O17" s="29"/>
      <c r="P17" s="29"/>
    </row>
    <row r="18" spans="1:16" ht="15" customHeight="1" x14ac:dyDescent="0.25">
      <c r="A18" s="39"/>
      <c r="B18" s="39"/>
      <c r="C18" s="39"/>
      <c r="D18" s="39"/>
      <c r="E18" s="29"/>
      <c r="F18" s="29"/>
      <c r="G18" s="29"/>
      <c r="H18" s="29"/>
      <c r="I18" s="29"/>
      <c r="J18" s="29"/>
      <c r="K18" s="29"/>
      <c r="L18" s="29"/>
      <c r="M18" s="29"/>
      <c r="N18" s="29"/>
      <c r="O18" s="29"/>
      <c r="P18" s="29"/>
    </row>
    <row r="19" spans="1:16" ht="15" customHeight="1" x14ac:dyDescent="0.25">
      <c r="A19" s="39"/>
      <c r="B19" s="39"/>
      <c r="C19" s="39"/>
      <c r="D19" s="39"/>
      <c r="E19" s="29"/>
      <c r="F19" s="29"/>
      <c r="G19" s="29"/>
      <c r="H19" s="29"/>
      <c r="I19" s="29"/>
      <c r="J19" s="29"/>
      <c r="K19" s="29"/>
      <c r="L19" s="29"/>
      <c r="M19" s="29"/>
      <c r="N19" s="29"/>
      <c r="O19" s="29"/>
      <c r="P19" s="29"/>
    </row>
    <row r="20" spans="1:16" ht="15" customHeight="1" x14ac:dyDescent="0.25">
      <c r="A20" s="39"/>
      <c r="B20" s="39"/>
      <c r="C20" s="39"/>
      <c r="D20" s="39"/>
      <c r="E20" s="29"/>
      <c r="F20" s="29"/>
      <c r="G20" s="29"/>
      <c r="H20" s="29"/>
      <c r="I20" s="29"/>
      <c r="J20" s="29"/>
      <c r="K20" s="29"/>
      <c r="L20" s="29"/>
      <c r="M20" s="29"/>
      <c r="N20" s="29"/>
      <c r="O20" s="29"/>
      <c r="P20" s="29"/>
    </row>
    <row r="21" spans="1:16" ht="15" customHeight="1" x14ac:dyDescent="0.25">
      <c r="A21" s="39"/>
      <c r="B21" s="39"/>
      <c r="C21" s="39"/>
      <c r="D21" s="39"/>
      <c r="E21" s="29"/>
      <c r="F21" s="29"/>
      <c r="G21" s="29"/>
      <c r="H21" s="29"/>
      <c r="I21" s="29"/>
      <c r="J21" s="29"/>
      <c r="K21" s="29"/>
      <c r="L21" s="29"/>
      <c r="M21" s="29"/>
      <c r="N21" s="29"/>
      <c r="O21" s="29"/>
      <c r="P21" s="29"/>
    </row>
    <row r="22" spans="1:16" ht="15" customHeight="1" x14ac:dyDescent="0.25">
      <c r="A22" s="39"/>
      <c r="B22" s="39"/>
      <c r="C22" s="39"/>
      <c r="D22" s="39"/>
      <c r="E22" s="29"/>
      <c r="F22" s="29"/>
      <c r="G22" s="29"/>
      <c r="H22" s="29"/>
      <c r="I22" s="29"/>
      <c r="J22" s="29"/>
      <c r="K22" s="29"/>
      <c r="L22" s="29"/>
      <c r="M22" s="29"/>
      <c r="N22" s="29"/>
      <c r="O22" s="29"/>
      <c r="P22" s="29"/>
    </row>
    <row r="23" spans="1:16" ht="15" customHeight="1" x14ac:dyDescent="0.25">
      <c r="A23" s="39"/>
      <c r="B23" s="39"/>
      <c r="C23" s="39"/>
      <c r="D23" s="39"/>
      <c r="E23" s="29"/>
      <c r="F23" s="29"/>
      <c r="G23" s="29"/>
      <c r="H23" s="29"/>
      <c r="I23" s="29"/>
      <c r="J23" s="29"/>
      <c r="K23" s="29"/>
      <c r="L23" s="29"/>
      <c r="M23" s="29"/>
      <c r="N23" s="29"/>
      <c r="O23" s="29"/>
      <c r="P23" s="29"/>
    </row>
    <row r="24" spans="1:16" ht="15" customHeight="1" x14ac:dyDescent="0.25">
      <c r="A24" s="39"/>
      <c r="B24" s="39"/>
      <c r="C24" s="39"/>
      <c r="D24" s="39"/>
      <c r="E24" s="29"/>
      <c r="F24" s="29"/>
      <c r="G24" s="29"/>
      <c r="H24" s="29"/>
      <c r="I24" s="29"/>
      <c r="J24" s="29"/>
      <c r="K24" s="29"/>
      <c r="L24" s="29"/>
      <c r="M24" s="29"/>
      <c r="N24" s="29"/>
      <c r="O24" s="29"/>
      <c r="P24" s="29"/>
    </row>
    <row r="25" spans="1:16" ht="15" customHeight="1" x14ac:dyDescent="0.25">
      <c r="A25" s="39"/>
      <c r="B25" s="39"/>
      <c r="C25" s="39"/>
      <c r="D25" s="39"/>
      <c r="E25" s="29"/>
      <c r="F25" s="29"/>
      <c r="G25" s="29"/>
      <c r="H25" s="29"/>
      <c r="I25" s="29"/>
      <c r="J25" s="29"/>
      <c r="K25" s="29"/>
      <c r="L25" s="29"/>
      <c r="M25" s="29"/>
      <c r="N25" s="29"/>
      <c r="O25" s="29"/>
      <c r="P25" s="29"/>
    </row>
    <row r="26" spans="1:16" ht="15" customHeight="1" x14ac:dyDescent="0.25">
      <c r="A26" s="39"/>
      <c r="B26" s="39"/>
      <c r="C26" s="39"/>
      <c r="D26" s="39"/>
      <c r="E26" s="29"/>
      <c r="F26" s="29"/>
      <c r="G26" s="29"/>
      <c r="H26" s="29"/>
      <c r="I26" s="29"/>
      <c r="J26" s="29"/>
      <c r="K26" s="29"/>
      <c r="L26" s="29"/>
      <c r="M26" s="29"/>
      <c r="N26" s="29"/>
      <c r="O26" s="29"/>
      <c r="P26" s="29"/>
    </row>
    <row r="27" spans="1:16" ht="15" customHeight="1" x14ac:dyDescent="0.25">
      <c r="A27" s="39"/>
      <c r="B27" s="39"/>
      <c r="C27" s="39"/>
      <c r="D27" s="39"/>
      <c r="E27" s="29"/>
      <c r="F27" s="29"/>
      <c r="G27" s="29"/>
      <c r="H27" s="29"/>
      <c r="I27" s="29"/>
      <c r="J27" s="29"/>
      <c r="K27" s="29"/>
      <c r="L27" s="29"/>
      <c r="M27" s="29"/>
      <c r="N27" s="29"/>
      <c r="O27" s="29"/>
      <c r="P27" s="29"/>
    </row>
    <row r="28" spans="1:16" ht="15" customHeight="1" x14ac:dyDescent="0.25">
      <c r="A28" s="39"/>
      <c r="B28" s="39"/>
      <c r="C28" s="39"/>
      <c r="D28" s="39"/>
      <c r="E28" s="29"/>
      <c r="F28" s="29"/>
      <c r="G28" s="29"/>
      <c r="H28" s="29"/>
      <c r="I28" s="29"/>
      <c r="J28" s="29"/>
      <c r="K28" s="29"/>
      <c r="L28" s="29"/>
      <c r="M28" s="29"/>
      <c r="N28" s="29"/>
      <c r="O28" s="29"/>
      <c r="P28" s="29"/>
    </row>
    <row r="29" spans="1:16" ht="15" customHeight="1" x14ac:dyDescent="0.25">
      <c r="A29" s="40"/>
      <c r="B29" s="40"/>
      <c r="C29" s="40"/>
      <c r="D29" s="40"/>
      <c r="E29" s="40"/>
      <c r="F29" s="40"/>
      <c r="G29" s="29"/>
      <c r="H29" s="29"/>
      <c r="I29" s="29"/>
      <c r="J29" s="29"/>
      <c r="K29" s="29"/>
      <c r="L29" s="29"/>
      <c r="M29" s="29"/>
      <c r="N29" s="29"/>
      <c r="O29" s="29"/>
      <c r="P29" s="29"/>
    </row>
    <row r="30" spans="1:16" ht="15" customHeight="1" thickBot="1" x14ac:dyDescent="0.3">
      <c r="A30" s="112" t="s">
        <v>145</v>
      </c>
      <c r="B30" s="113"/>
      <c r="C30" s="113"/>
      <c r="D30" s="113"/>
      <c r="E30" s="113"/>
      <c r="F30" s="114"/>
      <c r="G30" s="29"/>
      <c r="H30" s="29"/>
      <c r="I30" s="29"/>
      <c r="J30" s="29"/>
      <c r="K30" s="29"/>
      <c r="L30" s="29"/>
      <c r="M30" s="29"/>
      <c r="N30" s="29"/>
      <c r="O30" s="29"/>
      <c r="P30" s="29"/>
    </row>
    <row r="31" spans="1:16" ht="15" customHeight="1" thickBot="1" x14ac:dyDescent="0.3">
      <c r="A31" s="67" t="s">
        <v>1</v>
      </c>
      <c r="B31" s="68" t="s">
        <v>79</v>
      </c>
      <c r="F31" s="29"/>
    </row>
    <row r="32" spans="1:16" ht="15" customHeight="1" x14ac:dyDescent="0.25">
      <c r="A32" s="41" t="s">
        <v>9</v>
      </c>
      <c r="B32" s="71" t="s">
        <v>88</v>
      </c>
      <c r="C32" s="29"/>
      <c r="D32" s="29"/>
      <c r="E32" s="29"/>
      <c r="F32" s="29"/>
    </row>
    <row r="33" spans="1:6" ht="15" customHeight="1" x14ac:dyDescent="0.25">
      <c r="A33" s="28" t="s">
        <v>2</v>
      </c>
      <c r="B33" s="72" t="s">
        <v>89</v>
      </c>
      <c r="C33" s="29"/>
      <c r="D33" s="29"/>
      <c r="E33" s="29"/>
      <c r="F33" s="29"/>
    </row>
    <row r="34" spans="1:6" ht="15" customHeight="1" thickBot="1" x14ac:dyDescent="0.3">
      <c r="A34" s="42" t="s">
        <v>30</v>
      </c>
      <c r="B34" s="73" t="s">
        <v>90</v>
      </c>
      <c r="C34" s="29"/>
      <c r="D34" s="29"/>
      <c r="E34" s="29"/>
      <c r="F34" s="29"/>
    </row>
    <row r="35" spans="1:6" ht="15" customHeight="1" x14ac:dyDescent="0.25">
      <c r="C35" s="29"/>
      <c r="D35" s="29"/>
      <c r="E35" s="29"/>
      <c r="F35" s="29"/>
    </row>
    <row r="36" spans="1:6" ht="75" customHeight="1" x14ac:dyDescent="0.25">
      <c r="A36" s="109" t="s">
        <v>149</v>
      </c>
      <c r="B36" s="110"/>
      <c r="C36" s="110"/>
      <c r="D36" s="110"/>
      <c r="E36" s="110"/>
      <c r="F36" s="111"/>
    </row>
    <row r="37" spans="1:6" ht="30" customHeight="1" x14ac:dyDescent="0.25">
      <c r="A37" s="112" t="s">
        <v>146</v>
      </c>
      <c r="B37" s="113"/>
      <c r="C37" s="113"/>
      <c r="D37" s="113"/>
      <c r="E37" s="113"/>
      <c r="F37" s="114"/>
    </row>
    <row r="38" spans="1:6" ht="15" customHeight="1" x14ac:dyDescent="0.25">
      <c r="A38" s="115" t="s">
        <v>87</v>
      </c>
      <c r="B38" s="116"/>
      <c r="C38" s="116"/>
      <c r="D38" s="116"/>
      <c r="E38" s="116"/>
      <c r="F38" s="117"/>
    </row>
    <row r="39" spans="1:6" ht="15" customHeight="1" x14ac:dyDescent="0.25">
      <c r="A39" s="43"/>
      <c r="B39" s="43"/>
      <c r="C39" s="43"/>
    </row>
    <row r="40" spans="1:6" ht="15" customHeight="1" x14ac:dyDescent="0.25">
      <c r="A40" s="43"/>
      <c r="B40" s="29"/>
      <c r="C40" s="29"/>
    </row>
    <row r="41" spans="1:6" ht="15" customHeight="1" x14ac:dyDescent="0.25">
      <c r="A41" s="29"/>
      <c r="B41" s="29"/>
      <c r="C41" s="29"/>
    </row>
    <row r="42" spans="1:6" ht="15" customHeight="1" x14ac:dyDescent="0.25">
      <c r="A42" s="29"/>
      <c r="B42" s="29"/>
      <c r="C42" s="29"/>
    </row>
    <row r="43" spans="1:6" ht="15" customHeight="1" x14ac:dyDescent="0.25">
      <c r="A43" s="32"/>
      <c r="B43" s="29"/>
      <c r="C43" s="29"/>
    </row>
    <row r="44" spans="1:6" ht="15" customHeight="1" x14ac:dyDescent="0.25">
      <c r="A44" s="44"/>
      <c r="B44" s="29"/>
      <c r="C44" s="29"/>
    </row>
    <row r="45" spans="1:6" ht="15" customHeight="1" x14ac:dyDescent="0.25">
      <c r="A45" s="29"/>
      <c r="B45" s="29"/>
      <c r="C45" s="29"/>
    </row>
  </sheetData>
  <mergeCells count="9">
    <mergeCell ref="A36:F36"/>
    <mergeCell ref="A37:F37"/>
    <mergeCell ref="A38:F38"/>
    <mergeCell ref="A12:F12"/>
    <mergeCell ref="A1:F1"/>
    <mergeCell ref="A2:F2"/>
    <mergeCell ref="A3:F3"/>
    <mergeCell ref="A5:F5"/>
    <mergeCell ref="A30:F30"/>
  </mergeCells>
  <pageMargins left="0.7" right="0.7" top="0.78740157499999996" bottom="0.78740157499999996"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workbookViewId="0">
      <selection sqref="A1:D1"/>
    </sheetView>
  </sheetViews>
  <sheetFormatPr defaultColWidth="11.42578125" defaultRowHeight="15" customHeight="1" x14ac:dyDescent="0.25"/>
  <cols>
    <col min="1" max="1" width="36.42578125" style="33" bestFit="1" customWidth="1"/>
    <col min="2" max="2" width="27.42578125" style="33" bestFit="1" customWidth="1"/>
    <col min="3" max="3" width="35.7109375" style="33" customWidth="1"/>
    <col min="4" max="4" width="40.7109375" style="33" customWidth="1"/>
    <col min="5" max="16384" width="11.42578125" style="33"/>
  </cols>
  <sheetData>
    <row r="1" spans="1:16" ht="15" customHeight="1" x14ac:dyDescent="0.25">
      <c r="A1" s="118" t="s">
        <v>123</v>
      </c>
      <c r="B1" s="119"/>
      <c r="C1" s="119"/>
      <c r="D1" s="120"/>
    </row>
    <row r="2" spans="1:16" ht="15" customHeight="1" x14ac:dyDescent="0.25">
      <c r="A2" s="121" t="s">
        <v>141</v>
      </c>
      <c r="B2" s="131"/>
      <c r="C2" s="131"/>
      <c r="D2" s="132"/>
    </row>
    <row r="3" spans="1:16" ht="15" customHeight="1" x14ac:dyDescent="0.25">
      <c r="A3" s="124" t="s">
        <v>139</v>
      </c>
      <c r="B3" s="133"/>
      <c r="C3" s="133"/>
      <c r="D3" s="134"/>
      <c r="E3" s="69"/>
      <c r="F3" s="70"/>
    </row>
    <row r="5" spans="1:16" ht="30" customHeight="1" x14ac:dyDescent="0.25">
      <c r="A5" s="115" t="s">
        <v>148</v>
      </c>
      <c r="B5" s="116"/>
      <c r="C5" s="116"/>
      <c r="D5" s="117"/>
      <c r="E5" s="29"/>
    </row>
    <row r="6" spans="1:16" ht="15" customHeight="1" thickBot="1" x14ac:dyDescent="0.3">
      <c r="D6" s="29"/>
      <c r="E6" s="29"/>
    </row>
    <row r="7" spans="1:16" ht="15" customHeight="1" thickBot="1" x14ac:dyDescent="0.3">
      <c r="A7" s="67" t="s">
        <v>1</v>
      </c>
      <c r="B7" s="82" t="s">
        <v>140</v>
      </c>
      <c r="C7" s="68" t="s">
        <v>158</v>
      </c>
      <c r="D7" s="29"/>
      <c r="E7" s="29"/>
    </row>
    <row r="8" spans="1:16" ht="15" customHeight="1" x14ac:dyDescent="0.25">
      <c r="A8" s="30" t="s">
        <v>2</v>
      </c>
      <c r="B8" s="79" t="s">
        <v>92</v>
      </c>
      <c r="C8" s="79" t="s">
        <v>95</v>
      </c>
      <c r="D8" s="29"/>
      <c r="E8" s="91"/>
    </row>
    <row r="9" spans="1:16" ht="15" customHeight="1" x14ac:dyDescent="0.25">
      <c r="A9" s="31" t="s">
        <v>122</v>
      </c>
      <c r="B9" s="80" t="s">
        <v>93</v>
      </c>
      <c r="C9" s="80" t="s">
        <v>95</v>
      </c>
      <c r="D9" s="29"/>
      <c r="E9" s="91"/>
    </row>
    <row r="10" spans="1:16" ht="15" customHeight="1" x14ac:dyDescent="0.25">
      <c r="A10" s="30" t="s">
        <v>9</v>
      </c>
      <c r="B10" s="45" t="s">
        <v>10</v>
      </c>
      <c r="C10" s="45" t="s">
        <v>96</v>
      </c>
      <c r="D10" s="29"/>
      <c r="E10" s="91"/>
    </row>
    <row r="11" spans="1:16" ht="15" customHeight="1" x14ac:dyDescent="0.25">
      <c r="A11" s="46" t="s">
        <v>3</v>
      </c>
      <c r="B11" s="81" t="s">
        <v>94</v>
      </c>
      <c r="C11" s="81" t="s">
        <v>97</v>
      </c>
      <c r="D11" s="29"/>
      <c r="E11" s="29"/>
    </row>
    <row r="12" spans="1:16" ht="15" customHeight="1" x14ac:dyDescent="0.25">
      <c r="A12" s="40"/>
      <c r="B12" s="39"/>
      <c r="D12" s="29"/>
      <c r="E12" s="29"/>
    </row>
    <row r="13" spans="1:16" ht="30" customHeight="1" x14ac:dyDescent="0.25">
      <c r="A13" s="112" t="s">
        <v>162</v>
      </c>
      <c r="B13" s="113"/>
      <c r="C13" s="113"/>
      <c r="D13" s="114"/>
      <c r="E13" s="29"/>
    </row>
    <row r="14" spans="1:16" ht="15" customHeight="1" x14ac:dyDescent="0.25">
      <c r="A14" s="40"/>
      <c r="B14" s="39"/>
      <c r="C14" s="29"/>
      <c r="D14" s="29"/>
    </row>
    <row r="15" spans="1:16" ht="15" customHeight="1" x14ac:dyDescent="0.25">
      <c r="A15" s="40"/>
      <c r="B15" s="39"/>
      <c r="C15" s="90"/>
      <c r="D15" s="90"/>
      <c r="E15" s="29"/>
      <c r="F15" s="29"/>
      <c r="G15" s="29"/>
      <c r="H15" s="29"/>
      <c r="I15" s="29"/>
      <c r="J15" s="29"/>
      <c r="K15" s="29"/>
      <c r="L15" s="29"/>
      <c r="M15" s="29"/>
      <c r="N15" s="29"/>
      <c r="O15" s="29"/>
      <c r="P15" s="29"/>
    </row>
    <row r="16" spans="1:16" ht="15" customHeight="1" x14ac:dyDescent="0.25">
      <c r="A16" s="40"/>
      <c r="B16" s="39"/>
      <c r="C16" s="90"/>
      <c r="D16" s="47"/>
      <c r="E16" s="90"/>
      <c r="F16" s="90"/>
      <c r="G16" s="90"/>
      <c r="H16" s="90"/>
      <c r="I16" s="90"/>
      <c r="J16" s="90"/>
      <c r="K16" s="90"/>
      <c r="L16" s="90"/>
      <c r="M16" s="90"/>
      <c r="N16" s="90"/>
      <c r="O16" s="90"/>
      <c r="P16" s="29"/>
    </row>
    <row r="17" spans="1:16" ht="15" customHeight="1" x14ac:dyDescent="0.25">
      <c r="A17" s="40"/>
      <c r="B17" s="39"/>
      <c r="C17" s="90"/>
      <c r="D17" s="47"/>
      <c r="E17" s="47"/>
      <c r="F17" s="47"/>
      <c r="G17" s="130"/>
      <c r="H17" s="130"/>
      <c r="I17" s="130"/>
      <c r="J17" s="130"/>
      <c r="K17" s="130"/>
      <c r="L17" s="130"/>
      <c r="M17" s="130"/>
      <c r="N17" s="130"/>
      <c r="O17" s="130"/>
      <c r="P17" s="29"/>
    </row>
    <row r="18" spans="1:16" ht="15" customHeight="1" x14ac:dyDescent="0.25">
      <c r="A18" s="40"/>
      <c r="B18" s="39"/>
      <c r="C18" s="90"/>
      <c r="D18" s="47"/>
      <c r="E18" s="47"/>
      <c r="F18" s="47"/>
      <c r="G18" s="130"/>
      <c r="H18" s="130"/>
      <c r="I18" s="130"/>
      <c r="J18" s="130"/>
      <c r="K18" s="130"/>
      <c r="L18" s="130"/>
      <c r="M18" s="130"/>
      <c r="N18" s="130"/>
      <c r="O18" s="130"/>
      <c r="P18" s="29"/>
    </row>
    <row r="19" spans="1:16" ht="15" customHeight="1" x14ac:dyDescent="0.25">
      <c r="A19" s="40"/>
      <c r="B19" s="39"/>
      <c r="C19" s="90"/>
      <c r="D19" s="47"/>
      <c r="E19" s="47"/>
      <c r="F19" s="47"/>
      <c r="G19" s="130"/>
      <c r="H19" s="130"/>
      <c r="I19" s="130"/>
      <c r="J19" s="130"/>
      <c r="K19" s="130"/>
      <c r="L19" s="130"/>
      <c r="M19" s="130"/>
      <c r="N19" s="130"/>
      <c r="O19" s="130"/>
      <c r="P19" s="29"/>
    </row>
    <row r="20" spans="1:16" ht="15" customHeight="1" x14ac:dyDescent="0.25">
      <c r="A20" s="40"/>
      <c r="B20" s="39"/>
      <c r="C20" s="90"/>
      <c r="D20" s="47"/>
      <c r="E20" s="47"/>
      <c r="F20" s="47"/>
      <c r="G20" s="130"/>
      <c r="H20" s="130"/>
      <c r="I20" s="130"/>
      <c r="J20" s="130"/>
      <c r="K20" s="130"/>
      <c r="L20" s="130"/>
      <c r="M20" s="130"/>
      <c r="N20" s="130"/>
      <c r="O20" s="130"/>
      <c r="P20" s="29"/>
    </row>
    <row r="21" spans="1:16" ht="15" customHeight="1" x14ac:dyDescent="0.25">
      <c r="A21" s="40"/>
      <c r="B21" s="39"/>
      <c r="C21" s="90"/>
      <c r="D21" s="47"/>
      <c r="E21" s="47"/>
      <c r="F21" s="47"/>
      <c r="G21" s="130"/>
      <c r="H21" s="130"/>
      <c r="I21" s="130"/>
      <c r="J21" s="130"/>
      <c r="K21" s="130"/>
      <c r="L21" s="130"/>
      <c r="M21" s="130"/>
      <c r="N21" s="130"/>
      <c r="O21" s="130"/>
      <c r="P21" s="29"/>
    </row>
    <row r="22" spans="1:16" ht="15" customHeight="1" x14ac:dyDescent="0.25">
      <c r="A22" s="40"/>
      <c r="B22" s="39"/>
      <c r="C22" s="90"/>
      <c r="D22" s="47"/>
      <c r="E22" s="47"/>
      <c r="F22" s="47"/>
      <c r="G22" s="130"/>
      <c r="H22" s="130"/>
      <c r="I22" s="130"/>
      <c r="J22" s="130"/>
      <c r="K22" s="130"/>
      <c r="L22" s="130"/>
      <c r="M22" s="130"/>
      <c r="N22" s="130"/>
      <c r="O22" s="130"/>
      <c r="P22" s="29"/>
    </row>
    <row r="23" spans="1:16" ht="15" customHeight="1" x14ac:dyDescent="0.25">
      <c r="A23" s="40"/>
      <c r="B23" s="39"/>
      <c r="C23" s="90"/>
      <c r="D23" s="47"/>
      <c r="E23" s="47"/>
      <c r="F23" s="47"/>
      <c r="G23" s="130"/>
      <c r="H23" s="130"/>
      <c r="I23" s="130"/>
      <c r="J23" s="130"/>
      <c r="K23" s="130"/>
      <c r="L23" s="130"/>
      <c r="M23" s="130"/>
      <c r="N23" s="130"/>
      <c r="O23" s="130"/>
      <c r="P23" s="29"/>
    </row>
    <row r="24" spans="1:16" ht="45" customHeight="1" x14ac:dyDescent="0.25">
      <c r="A24" s="40"/>
      <c r="B24" s="39"/>
      <c r="C24" s="90"/>
      <c r="D24" s="47"/>
      <c r="E24" s="90"/>
      <c r="F24" s="90"/>
      <c r="G24" s="130"/>
      <c r="H24" s="130"/>
      <c r="I24" s="130"/>
      <c r="J24" s="130"/>
      <c r="K24" s="130"/>
      <c r="L24" s="130"/>
      <c r="M24" s="130"/>
      <c r="N24" s="130"/>
      <c r="O24" s="130"/>
      <c r="P24" s="29"/>
    </row>
    <row r="25" spans="1:16" ht="15" customHeight="1" x14ac:dyDescent="0.25">
      <c r="A25" s="40"/>
      <c r="B25" s="39"/>
      <c r="C25" s="90"/>
      <c r="D25" s="47"/>
      <c r="E25" s="29"/>
      <c r="F25" s="29"/>
      <c r="G25" s="29"/>
      <c r="H25" s="29"/>
      <c r="I25" s="29"/>
      <c r="J25" s="29"/>
      <c r="K25" s="29"/>
      <c r="L25" s="29"/>
      <c r="M25" s="29"/>
      <c r="N25" s="29"/>
      <c r="O25" s="29"/>
      <c r="P25" s="29"/>
    </row>
    <row r="26" spans="1:16" ht="15" customHeight="1" x14ac:dyDescent="0.25">
      <c r="A26" s="40"/>
      <c r="B26" s="39"/>
      <c r="C26" s="90"/>
      <c r="D26" s="47"/>
      <c r="E26" s="29"/>
      <c r="F26" s="29"/>
      <c r="G26" s="29"/>
      <c r="H26" s="29"/>
      <c r="I26" s="29"/>
      <c r="J26" s="29"/>
      <c r="K26" s="29"/>
      <c r="L26" s="29"/>
      <c r="M26" s="29"/>
      <c r="N26" s="29"/>
      <c r="O26" s="29"/>
      <c r="P26" s="29"/>
    </row>
    <row r="27" spans="1:16" ht="15" customHeight="1" x14ac:dyDescent="0.25">
      <c r="A27" s="40"/>
      <c r="B27" s="39"/>
      <c r="C27" s="90"/>
      <c r="D27" s="47"/>
      <c r="E27" s="29"/>
      <c r="F27" s="29"/>
    </row>
    <row r="28" spans="1:16" ht="15" customHeight="1" x14ac:dyDescent="0.25">
      <c r="A28" s="40"/>
      <c r="B28" s="39"/>
      <c r="C28" s="90"/>
      <c r="D28" s="90"/>
    </row>
    <row r="29" spans="1:16" ht="60" customHeight="1" x14ac:dyDescent="0.25">
      <c r="A29" s="112" t="s">
        <v>156</v>
      </c>
      <c r="B29" s="113"/>
      <c r="C29" s="113"/>
      <c r="D29" s="114"/>
    </row>
    <row r="30" spans="1:16" ht="15" customHeight="1" x14ac:dyDescent="0.25">
      <c r="A30" s="40"/>
      <c r="B30" s="39"/>
      <c r="C30" s="29"/>
      <c r="D30" s="29"/>
      <c r="E30" s="43"/>
      <c r="F30" s="48"/>
    </row>
    <row r="31" spans="1:16" ht="30" customHeight="1" x14ac:dyDescent="0.25">
      <c r="A31" s="112" t="s">
        <v>150</v>
      </c>
      <c r="B31" s="113"/>
      <c r="C31" s="113"/>
      <c r="D31" s="114"/>
      <c r="E31" s="43"/>
      <c r="F31" s="43"/>
    </row>
    <row r="32" spans="1:16" ht="15" customHeight="1" x14ac:dyDescent="0.25">
      <c r="A32" s="112" t="s">
        <v>91</v>
      </c>
      <c r="B32" s="113"/>
      <c r="C32" s="113"/>
      <c r="D32" s="114"/>
      <c r="E32" s="29"/>
      <c r="F32" s="43"/>
    </row>
    <row r="33" spans="1:6" ht="15" customHeight="1" x14ac:dyDescent="0.25">
      <c r="A33" s="32"/>
      <c r="E33" s="29"/>
      <c r="F33" s="43"/>
    </row>
    <row r="34" spans="1:6" ht="15" customHeight="1" x14ac:dyDescent="0.25">
      <c r="A34" s="32"/>
      <c r="B34" s="29"/>
      <c r="C34" s="29"/>
      <c r="D34" s="43"/>
      <c r="E34" s="29"/>
      <c r="F34" s="43"/>
    </row>
    <row r="35" spans="1:6" ht="15" customHeight="1" x14ac:dyDescent="0.25">
      <c r="A35" s="43"/>
      <c r="B35" s="43"/>
      <c r="C35" s="43"/>
      <c r="D35" s="43"/>
      <c r="E35" s="29"/>
      <c r="F35" s="43"/>
    </row>
    <row r="36" spans="1:6" ht="15" customHeight="1" x14ac:dyDescent="0.25">
      <c r="A36" s="43"/>
      <c r="B36" s="29"/>
      <c r="C36" s="29"/>
      <c r="D36" s="29"/>
      <c r="E36" s="29"/>
      <c r="F36" s="43"/>
    </row>
    <row r="37" spans="1:6" ht="15" customHeight="1" x14ac:dyDescent="0.25">
      <c r="A37" s="29"/>
      <c r="B37" s="29"/>
      <c r="C37" s="29"/>
      <c r="D37" s="29"/>
      <c r="E37" s="29"/>
      <c r="F37" s="43"/>
    </row>
    <row r="38" spans="1:6" ht="15" customHeight="1" x14ac:dyDescent="0.25">
      <c r="A38" s="29"/>
      <c r="B38" s="29"/>
      <c r="C38" s="29"/>
      <c r="D38" s="129"/>
      <c r="F38" s="43"/>
    </row>
    <row r="39" spans="1:6" ht="15" customHeight="1" x14ac:dyDescent="0.25">
      <c r="A39" s="32"/>
      <c r="B39" s="29"/>
      <c r="C39" s="29"/>
      <c r="D39" s="129"/>
      <c r="F39" s="43"/>
    </row>
    <row r="40" spans="1:6" ht="15" customHeight="1" x14ac:dyDescent="0.25">
      <c r="A40" s="44"/>
      <c r="B40" s="29"/>
      <c r="C40" s="29"/>
      <c r="D40" s="29"/>
      <c r="F40" s="43"/>
    </row>
    <row r="41" spans="1:6" ht="15" customHeight="1" x14ac:dyDescent="0.25">
      <c r="A41" s="29"/>
      <c r="B41" s="29"/>
      <c r="C41" s="29"/>
      <c r="D41" s="29"/>
      <c r="F41" s="50"/>
    </row>
    <row r="44" spans="1:6" ht="15" customHeight="1" x14ac:dyDescent="0.25">
      <c r="A44" s="49"/>
    </row>
  </sheetData>
  <mergeCells count="33">
    <mergeCell ref="A13:D13"/>
    <mergeCell ref="A32:D32"/>
    <mergeCell ref="A31:D31"/>
    <mergeCell ref="A29:D29"/>
    <mergeCell ref="A1:D1"/>
    <mergeCell ref="A2:D2"/>
    <mergeCell ref="A3:D3"/>
    <mergeCell ref="A5:D5"/>
    <mergeCell ref="G17:I17"/>
    <mergeCell ref="J17:L17"/>
    <mergeCell ref="M17:O17"/>
    <mergeCell ref="G18:I18"/>
    <mergeCell ref="J18:L18"/>
    <mergeCell ref="M18:O18"/>
    <mergeCell ref="G19:I19"/>
    <mergeCell ref="J19:L19"/>
    <mergeCell ref="M19:O19"/>
    <mergeCell ref="G20:I20"/>
    <mergeCell ref="J20:L20"/>
    <mergeCell ref="M20:O20"/>
    <mergeCell ref="G21:I21"/>
    <mergeCell ref="J21:L21"/>
    <mergeCell ref="M21:O21"/>
    <mergeCell ref="G22:I22"/>
    <mergeCell ref="J22:L22"/>
    <mergeCell ref="M22:O22"/>
    <mergeCell ref="D38:D39"/>
    <mergeCell ref="G23:I23"/>
    <mergeCell ref="J23:L23"/>
    <mergeCell ref="M23:O23"/>
    <mergeCell ref="G24:I24"/>
    <mergeCell ref="J24:L24"/>
    <mergeCell ref="M24:O24"/>
  </mergeCells>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workbookViewId="0">
      <selection activeCell="B2" sqref="B2"/>
    </sheetView>
  </sheetViews>
  <sheetFormatPr defaultColWidth="9.140625" defaultRowHeight="15" customHeight="1" x14ac:dyDescent="0.25"/>
  <cols>
    <col min="1" max="1" width="5.7109375" style="4" customWidth="1"/>
    <col min="2" max="2" width="15.7109375" style="4" customWidth="1"/>
    <col min="3" max="3" width="5.7109375" style="4" customWidth="1"/>
    <col min="4" max="4" width="12.7109375" style="4" customWidth="1"/>
    <col min="5" max="5" width="20.7109375" style="4" customWidth="1"/>
    <col min="6" max="6" width="10.7109375" style="5" customWidth="1"/>
    <col min="7" max="7" width="5.7109375" style="4" customWidth="1"/>
    <col min="8" max="8" width="8.7109375" style="4" customWidth="1"/>
    <col min="9" max="9" width="20.7109375" style="8" customWidth="1"/>
    <col min="10" max="10" width="20.7109375" style="4" customWidth="1"/>
    <col min="11" max="11" width="50.7109375" style="4" customWidth="1"/>
    <col min="12" max="12" width="5.7109375" style="4" customWidth="1"/>
    <col min="13" max="16384" width="9.140625" style="4"/>
  </cols>
  <sheetData>
    <row r="1" spans="1:11" s="2" customFormat="1" ht="15" customHeight="1" x14ac:dyDescent="0.25">
      <c r="A1" s="6" t="s">
        <v>0</v>
      </c>
      <c r="B1" s="6" t="s">
        <v>11</v>
      </c>
      <c r="D1" s="66" t="s">
        <v>39</v>
      </c>
      <c r="E1" s="66" t="s">
        <v>38</v>
      </c>
      <c r="F1" s="66" t="s">
        <v>163</v>
      </c>
      <c r="H1" s="6" t="s">
        <v>46</v>
      </c>
      <c r="I1" s="6" t="s">
        <v>7</v>
      </c>
      <c r="J1" s="6" t="s">
        <v>115</v>
      </c>
    </row>
    <row r="2" spans="1:11" ht="15" customHeight="1" x14ac:dyDescent="0.25">
      <c r="A2" s="7">
        <v>1</v>
      </c>
      <c r="B2" s="63">
        <v>23.327999114990234</v>
      </c>
      <c r="D2" s="137">
        <f>Calculation!H2</f>
        <v>23.350999196370442</v>
      </c>
      <c r="E2" s="136">
        <f>Calculation!I2</f>
        <v>3.9837309528739741E-2</v>
      </c>
      <c r="F2" s="135" t="str">
        <f>IF(E2&gt;0.4,"Delete the Outlier","")</f>
        <v/>
      </c>
      <c r="H2" s="7" t="s">
        <v>99</v>
      </c>
      <c r="I2" s="9" t="s">
        <v>151</v>
      </c>
      <c r="J2" s="94">
        <v>36</v>
      </c>
      <c r="K2" s="138" t="s">
        <v>134</v>
      </c>
    </row>
    <row r="3" spans="1:11" ht="15" customHeight="1" x14ac:dyDescent="0.25">
      <c r="A3" s="7">
        <v>2</v>
      </c>
      <c r="B3" s="63">
        <v>23.396999359130859</v>
      </c>
      <c r="D3" s="137"/>
      <c r="E3" s="136"/>
      <c r="F3" s="135"/>
      <c r="H3" s="7" t="s">
        <v>100</v>
      </c>
      <c r="I3" s="9" t="s">
        <v>152</v>
      </c>
      <c r="J3" s="94">
        <v>23</v>
      </c>
      <c r="K3" s="138"/>
    </row>
    <row r="4" spans="1:11" ht="15" customHeight="1" x14ac:dyDescent="0.25">
      <c r="A4" s="7">
        <v>3</v>
      </c>
      <c r="B4" s="63">
        <v>23.327999114990234</v>
      </c>
      <c r="D4" s="137"/>
      <c r="E4" s="136"/>
      <c r="F4" s="135"/>
      <c r="H4" s="7" t="s">
        <v>101</v>
      </c>
      <c r="I4" s="9" t="s">
        <v>153</v>
      </c>
      <c r="J4" s="94">
        <v>27</v>
      </c>
      <c r="K4" s="138"/>
    </row>
    <row r="5" spans="1:11" ht="15" customHeight="1" x14ac:dyDescent="0.25">
      <c r="A5" s="7">
        <v>4</v>
      </c>
      <c r="B5" s="63">
        <v>30.211999893188477</v>
      </c>
      <c r="D5" s="137">
        <f>Calculation!H5</f>
        <v>29.974667231241863</v>
      </c>
      <c r="E5" s="136">
        <f>Calculation!I5</f>
        <v>0.20565527927275382</v>
      </c>
      <c r="F5" s="135" t="str">
        <f t="shared" ref="F5" si="0">IF(E5&gt;0.4,"Delete the Outlier","")</f>
        <v/>
      </c>
      <c r="H5" s="7" t="s">
        <v>102</v>
      </c>
      <c r="I5" s="9" t="s">
        <v>154</v>
      </c>
      <c r="J5" s="94">
        <v>13</v>
      </c>
    </row>
    <row r="6" spans="1:11" ht="15" customHeight="1" x14ac:dyDescent="0.25">
      <c r="A6" s="7">
        <v>5</v>
      </c>
      <c r="B6" s="63">
        <v>29.863000869750977</v>
      </c>
      <c r="D6" s="137"/>
      <c r="E6" s="136"/>
      <c r="F6" s="135"/>
      <c r="H6" s="7" t="s">
        <v>103</v>
      </c>
      <c r="I6" s="9" t="s">
        <v>124</v>
      </c>
      <c r="J6" s="94">
        <v>9</v>
      </c>
    </row>
    <row r="7" spans="1:11" ht="15" customHeight="1" x14ac:dyDescent="0.25">
      <c r="A7" s="7">
        <v>6</v>
      </c>
      <c r="B7" s="63">
        <v>29.849000930786133</v>
      </c>
      <c r="D7" s="137"/>
      <c r="E7" s="136"/>
      <c r="F7" s="135"/>
      <c r="H7" s="7" t="s">
        <v>104</v>
      </c>
      <c r="I7" s="9" t="s">
        <v>155</v>
      </c>
      <c r="J7" s="94">
        <v>31</v>
      </c>
    </row>
    <row r="8" spans="1:11" ht="15" customHeight="1" x14ac:dyDescent="0.25">
      <c r="A8" s="7">
        <v>7</v>
      </c>
      <c r="B8" s="63">
        <v>19.319000244140625</v>
      </c>
      <c r="D8" s="137">
        <f>Calculation!H8</f>
        <v>19.319333394368488</v>
      </c>
      <c r="E8" s="136">
        <f>Calculation!I8</f>
        <v>1.2504091965198808E-2</v>
      </c>
      <c r="F8" s="135" t="str">
        <f t="shared" ref="F8" si="1">IF(E8&gt;0.4,"Delete the Outlier","")</f>
        <v/>
      </c>
      <c r="H8" s="7" t="s">
        <v>105</v>
      </c>
      <c r="I8" s="9" t="s">
        <v>125</v>
      </c>
      <c r="J8" s="94">
        <v>22</v>
      </c>
    </row>
    <row r="9" spans="1:11" ht="15" customHeight="1" x14ac:dyDescent="0.25">
      <c r="A9" s="7">
        <v>8</v>
      </c>
      <c r="B9" s="63">
        <v>19.332000732421875</v>
      </c>
      <c r="D9" s="137"/>
      <c r="E9" s="136"/>
      <c r="F9" s="135"/>
      <c r="H9" s="7" t="s">
        <v>106</v>
      </c>
      <c r="I9" s="9" t="s">
        <v>126</v>
      </c>
      <c r="J9" s="94">
        <v>52</v>
      </c>
    </row>
    <row r="10" spans="1:11" ht="15" customHeight="1" x14ac:dyDescent="0.25">
      <c r="A10" s="7">
        <v>9</v>
      </c>
      <c r="B10" s="63">
        <v>19.306999206542969</v>
      </c>
      <c r="D10" s="137"/>
      <c r="E10" s="136"/>
      <c r="F10" s="135"/>
      <c r="H10" s="7" t="s">
        <v>107</v>
      </c>
      <c r="I10" s="9" t="s">
        <v>127</v>
      </c>
      <c r="J10" s="94">
        <v>14</v>
      </c>
    </row>
    <row r="11" spans="1:11" ht="15" customHeight="1" x14ac:dyDescent="0.25">
      <c r="A11" s="7">
        <v>10</v>
      </c>
      <c r="B11" s="63">
        <v>22.250999450683594</v>
      </c>
      <c r="D11" s="137">
        <f>Calculation!H11</f>
        <v>22.245333353678387</v>
      </c>
      <c r="E11" s="136">
        <f>Calculation!I11</f>
        <v>5.5073734236591046E-3</v>
      </c>
      <c r="F11" s="135" t="str">
        <f t="shared" ref="F11" si="2">IF(E11&gt;0.4,"Delete the Outlier","")</f>
        <v/>
      </c>
      <c r="H11" s="7" t="s">
        <v>108</v>
      </c>
      <c r="I11" s="9" t="s">
        <v>128</v>
      </c>
      <c r="J11" s="94">
        <v>5</v>
      </c>
    </row>
    <row r="12" spans="1:11" ht="15" customHeight="1" x14ac:dyDescent="0.25">
      <c r="A12" s="7">
        <v>11</v>
      </c>
      <c r="B12" s="63">
        <v>22.239999771118164</v>
      </c>
      <c r="D12" s="137"/>
      <c r="E12" s="136"/>
      <c r="F12" s="135"/>
      <c r="H12" s="7" t="s">
        <v>109</v>
      </c>
      <c r="I12" s="9" t="s">
        <v>129</v>
      </c>
      <c r="J12" s="94">
        <v>11</v>
      </c>
    </row>
    <row r="13" spans="1:11" ht="15" customHeight="1" x14ac:dyDescent="0.25">
      <c r="A13" s="7">
        <v>12</v>
      </c>
      <c r="B13" s="63">
        <v>22.245000839233398</v>
      </c>
      <c r="D13" s="137"/>
      <c r="E13" s="136"/>
      <c r="F13" s="135"/>
      <c r="H13" s="7" t="s">
        <v>110</v>
      </c>
      <c r="I13" s="9" t="s">
        <v>130</v>
      </c>
      <c r="J13" s="94">
        <v>50</v>
      </c>
    </row>
    <row r="14" spans="1:11" ht="15" customHeight="1" x14ac:dyDescent="0.25">
      <c r="A14" s="7">
        <v>13</v>
      </c>
      <c r="B14" s="63">
        <v>18.197999954223633</v>
      </c>
      <c r="D14" s="137">
        <f>Calculation!H14</f>
        <v>18.189333597819012</v>
      </c>
      <c r="E14" s="136">
        <f>Calculation!I14</f>
        <v>2.9955728546628691E-2</v>
      </c>
      <c r="F14" s="135" t="str">
        <f t="shared" ref="F14" si="3">IF(E14&gt;0.4,"Delete the Outlier","")</f>
        <v/>
      </c>
      <c r="H14" s="7" t="s">
        <v>111</v>
      </c>
      <c r="I14" s="9" t="s">
        <v>131</v>
      </c>
      <c r="J14" s="94">
        <v>14</v>
      </c>
    </row>
    <row r="15" spans="1:11" ht="15" customHeight="1" x14ac:dyDescent="0.25">
      <c r="A15" s="7">
        <v>14</v>
      </c>
      <c r="B15" s="63">
        <v>18.156000137329102</v>
      </c>
      <c r="D15" s="137"/>
      <c r="E15" s="136"/>
      <c r="F15" s="135"/>
      <c r="H15" s="7" t="s">
        <v>112</v>
      </c>
      <c r="I15" s="9" t="s">
        <v>132</v>
      </c>
      <c r="J15" s="94">
        <v>20</v>
      </c>
    </row>
    <row r="16" spans="1:11" ht="15" customHeight="1" x14ac:dyDescent="0.25">
      <c r="A16" s="7">
        <v>15</v>
      </c>
      <c r="B16" s="63">
        <v>18.214000701904297</v>
      </c>
      <c r="D16" s="137"/>
      <c r="E16" s="136"/>
      <c r="F16" s="135"/>
      <c r="H16" s="7" t="s">
        <v>113</v>
      </c>
      <c r="I16" s="9" t="s">
        <v>133</v>
      </c>
      <c r="J16" s="94">
        <v>20</v>
      </c>
    </row>
    <row r="17" spans="1:10" ht="15" customHeight="1" x14ac:dyDescent="0.25">
      <c r="A17" s="7">
        <v>16</v>
      </c>
      <c r="B17" s="63">
        <v>20.559000015258789</v>
      </c>
      <c r="D17" s="137">
        <f>Calculation!H17</f>
        <v>20.58500035603841</v>
      </c>
      <c r="E17" s="136">
        <f>Calculation!I17</f>
        <v>3.2186991332395568E-2</v>
      </c>
      <c r="F17" s="135" t="str">
        <f t="shared" ref="F17" si="4">IF(E17&gt;0.4,"Delete the Outlier","")</f>
        <v/>
      </c>
      <c r="H17" s="7" t="s">
        <v>114</v>
      </c>
      <c r="I17" s="52" t="s">
        <v>4</v>
      </c>
      <c r="J17" s="52" t="s">
        <v>4</v>
      </c>
    </row>
    <row r="18" spans="1:10" ht="15" customHeight="1" x14ac:dyDescent="0.25">
      <c r="A18" s="7">
        <v>17</v>
      </c>
      <c r="B18" s="63">
        <v>20.575000762939453</v>
      </c>
      <c r="D18" s="137"/>
      <c r="E18" s="136"/>
      <c r="F18" s="135"/>
    </row>
    <row r="19" spans="1:10" ht="15" customHeight="1" x14ac:dyDescent="0.25">
      <c r="A19" s="7">
        <v>18</v>
      </c>
      <c r="B19" s="63">
        <v>20.621000289916992</v>
      </c>
      <c r="D19" s="137"/>
      <c r="E19" s="136"/>
      <c r="F19" s="135"/>
    </row>
    <row r="20" spans="1:10" ht="15" customHeight="1" x14ac:dyDescent="0.25">
      <c r="A20" s="7">
        <v>19</v>
      </c>
      <c r="B20" s="63">
        <v>25.905000686645508</v>
      </c>
      <c r="D20" s="137">
        <f>Calculation!H20</f>
        <v>25.848667144775391</v>
      </c>
      <c r="E20" s="136">
        <f>Calculation!I20</f>
        <v>5.8620545132811994E-2</v>
      </c>
      <c r="F20" s="135" t="str">
        <f t="shared" ref="F20" si="5">IF(E20&gt;0.4,"Delete the Outlier","")</f>
        <v/>
      </c>
    </row>
    <row r="21" spans="1:10" ht="15" customHeight="1" x14ac:dyDescent="0.25">
      <c r="A21" s="7">
        <v>20</v>
      </c>
      <c r="B21" s="63">
        <v>25.788000106811523</v>
      </c>
      <c r="D21" s="137"/>
      <c r="E21" s="136"/>
      <c r="F21" s="135"/>
    </row>
    <row r="22" spans="1:10" ht="15" customHeight="1" x14ac:dyDescent="0.25">
      <c r="A22" s="7">
        <v>21</v>
      </c>
      <c r="B22" s="63">
        <v>25.853000640869141</v>
      </c>
      <c r="D22" s="137"/>
      <c r="E22" s="136"/>
      <c r="F22" s="135"/>
    </row>
    <row r="23" spans="1:10" ht="15" customHeight="1" x14ac:dyDescent="0.25">
      <c r="A23" s="7">
        <v>22</v>
      </c>
      <c r="B23" s="63"/>
      <c r="D23" s="137">
        <f>Calculation!H23</f>
        <v>31.485500335693359</v>
      </c>
      <c r="E23" s="136">
        <f>Calculation!I23</f>
        <v>0.16758396187422875</v>
      </c>
      <c r="F23" s="135" t="str">
        <f t="shared" ref="F23" si="6">IF(E23&gt;0.4,"Delete the Outlier","")</f>
        <v/>
      </c>
    </row>
    <row r="24" spans="1:10" ht="15" customHeight="1" x14ac:dyDescent="0.25">
      <c r="A24" s="7">
        <v>23</v>
      </c>
      <c r="B24" s="63">
        <v>31.604000091552734</v>
      </c>
      <c r="D24" s="137"/>
      <c r="E24" s="136"/>
      <c r="F24" s="135"/>
    </row>
    <row r="25" spans="1:10" ht="15" customHeight="1" x14ac:dyDescent="0.25">
      <c r="A25" s="7">
        <v>24</v>
      </c>
      <c r="B25" s="63">
        <v>31.367000579833984</v>
      </c>
      <c r="D25" s="137"/>
      <c r="E25" s="136"/>
      <c r="F25" s="135"/>
    </row>
    <row r="26" spans="1:10" ht="15" customHeight="1" x14ac:dyDescent="0.25">
      <c r="A26" s="7">
        <v>25</v>
      </c>
      <c r="B26" s="63">
        <v>24.839000701904297</v>
      </c>
      <c r="D26" s="137">
        <f>Calculation!H26</f>
        <v>24.8836669921875</v>
      </c>
      <c r="E26" s="136">
        <f>Calculation!I26</f>
        <v>4.0808342422823829E-2</v>
      </c>
      <c r="F26" s="135" t="str">
        <f t="shared" ref="F26" si="7">IF(E26&gt;0.4,"Delete the Outlier","")</f>
        <v/>
      </c>
    </row>
    <row r="27" spans="1:10" ht="15" customHeight="1" x14ac:dyDescent="0.25">
      <c r="A27" s="7">
        <v>26</v>
      </c>
      <c r="B27" s="63">
        <v>24.919000625610352</v>
      </c>
      <c r="D27" s="137"/>
      <c r="E27" s="136"/>
      <c r="F27" s="135"/>
    </row>
    <row r="28" spans="1:10" ht="15" customHeight="1" x14ac:dyDescent="0.25">
      <c r="A28" s="7">
        <v>27</v>
      </c>
      <c r="B28" s="63">
        <v>24.892999649047852</v>
      </c>
      <c r="D28" s="137"/>
      <c r="E28" s="136"/>
      <c r="F28" s="135"/>
    </row>
    <row r="29" spans="1:10" ht="15" customHeight="1" x14ac:dyDescent="0.25">
      <c r="A29" s="7">
        <v>28</v>
      </c>
      <c r="B29" s="63">
        <v>29.804000854492187</v>
      </c>
      <c r="D29" s="137">
        <f>Calculation!H29</f>
        <v>29.749666849772137</v>
      </c>
      <c r="E29" s="136">
        <f>Calculation!I29</f>
        <v>0.28146131659251428</v>
      </c>
      <c r="F29" s="135" t="str">
        <f t="shared" ref="F29" si="8">IF(E29&gt;0.4,"Delete the Outlier","")</f>
        <v/>
      </c>
    </row>
    <row r="30" spans="1:10" ht="15" customHeight="1" x14ac:dyDescent="0.25">
      <c r="A30" s="7">
        <v>29</v>
      </c>
      <c r="B30" s="63">
        <v>29.444999694824219</v>
      </c>
      <c r="D30" s="137"/>
      <c r="E30" s="136"/>
      <c r="F30" s="135"/>
    </row>
    <row r="31" spans="1:10" ht="15" customHeight="1" x14ac:dyDescent="0.25">
      <c r="A31" s="7">
        <v>30</v>
      </c>
      <c r="B31" s="63">
        <v>30</v>
      </c>
      <c r="D31" s="137"/>
      <c r="E31" s="136"/>
      <c r="F31" s="135"/>
    </row>
    <row r="32" spans="1:10" ht="15" customHeight="1" x14ac:dyDescent="0.25">
      <c r="A32" s="7">
        <v>31</v>
      </c>
      <c r="B32" s="63">
        <v>18.062000274658203</v>
      </c>
      <c r="D32" s="137">
        <f>Calculation!H32</f>
        <v>18.049333572387695</v>
      </c>
      <c r="E32" s="136">
        <f>Calculation!I32</f>
        <v>3.5725287091960524E-2</v>
      </c>
      <c r="F32" s="135" t="str">
        <f t="shared" ref="F32" si="9">IF(E32&gt;0.4,"Delete the Outlier","")</f>
        <v/>
      </c>
    </row>
    <row r="33" spans="1:6" ht="15" customHeight="1" x14ac:dyDescent="0.25">
      <c r="A33" s="7">
        <v>32</v>
      </c>
      <c r="B33" s="63">
        <v>18.076999664306641</v>
      </c>
      <c r="D33" s="137"/>
      <c r="E33" s="136"/>
      <c r="F33" s="135"/>
    </row>
    <row r="34" spans="1:6" ht="15" customHeight="1" x14ac:dyDescent="0.25">
      <c r="A34" s="7">
        <v>33</v>
      </c>
      <c r="B34" s="63">
        <v>18.009000778198242</v>
      </c>
      <c r="D34" s="137"/>
      <c r="E34" s="136"/>
      <c r="F34" s="135"/>
    </row>
    <row r="35" spans="1:6" ht="15" customHeight="1" x14ac:dyDescent="0.25">
      <c r="A35" s="7">
        <v>34</v>
      </c>
      <c r="B35" s="63">
        <v>20.367000579833984</v>
      </c>
      <c r="D35" s="137">
        <f>Calculation!H35</f>
        <v>20.380666732788086</v>
      </c>
      <c r="E35" s="136">
        <f>Calculation!I35</f>
        <v>3.1785582463721027E-2</v>
      </c>
      <c r="F35" s="135" t="str">
        <f t="shared" ref="F35" si="10">IF(E35&gt;0.4,"Delete the Outlier","")</f>
        <v/>
      </c>
    </row>
    <row r="36" spans="1:6" ht="15" customHeight="1" x14ac:dyDescent="0.25">
      <c r="A36" s="7">
        <v>35</v>
      </c>
      <c r="B36" s="63">
        <v>20.416999816894531</v>
      </c>
      <c r="D36" s="137"/>
      <c r="E36" s="136"/>
      <c r="F36" s="135"/>
    </row>
    <row r="37" spans="1:6" ht="15" customHeight="1" x14ac:dyDescent="0.25">
      <c r="A37" s="7">
        <v>36</v>
      </c>
      <c r="B37" s="63">
        <v>20.357999801635742</v>
      </c>
      <c r="D37" s="137"/>
      <c r="E37" s="136"/>
      <c r="F37" s="135"/>
    </row>
    <row r="38" spans="1:6" ht="15" customHeight="1" x14ac:dyDescent="0.25">
      <c r="A38" s="7">
        <v>37</v>
      </c>
      <c r="B38" s="63">
        <v>17.840999603271484</v>
      </c>
      <c r="D38" s="137">
        <f>Calculation!H38</f>
        <v>17.778333028157551</v>
      </c>
      <c r="E38" s="136">
        <f>Calculation!I38</f>
        <v>5.5374341331746062E-2</v>
      </c>
      <c r="F38" s="135" t="str">
        <f t="shared" ref="F38" si="11">IF(E38&gt;0.4,"Delete the Outlier","")</f>
        <v/>
      </c>
    </row>
    <row r="39" spans="1:6" ht="15" customHeight="1" x14ac:dyDescent="0.25">
      <c r="A39" s="7">
        <v>38</v>
      </c>
      <c r="B39" s="63">
        <v>17.736000061035156</v>
      </c>
      <c r="D39" s="137"/>
      <c r="E39" s="136"/>
      <c r="F39" s="135"/>
    </row>
    <row r="40" spans="1:6" ht="15" customHeight="1" x14ac:dyDescent="0.25">
      <c r="A40" s="7">
        <v>39</v>
      </c>
      <c r="B40" s="63">
        <v>17.757999420166016</v>
      </c>
      <c r="D40" s="137"/>
      <c r="E40" s="136"/>
      <c r="F40" s="135"/>
    </row>
    <row r="41" spans="1:6" ht="15" customHeight="1" x14ac:dyDescent="0.25">
      <c r="A41" s="7">
        <v>40</v>
      </c>
      <c r="B41" s="63">
        <v>19.566999435424805</v>
      </c>
      <c r="D41" s="137">
        <f>Calculation!H41</f>
        <v>19.555333455403645</v>
      </c>
      <c r="E41" s="136">
        <f>Calculation!I41</f>
        <v>1.5307826916144145E-2</v>
      </c>
      <c r="F41" s="135" t="str">
        <f t="shared" ref="F41" si="12">IF(E41&gt;0.4,"Delete the Outlier","")</f>
        <v/>
      </c>
    </row>
    <row r="42" spans="1:6" ht="15" customHeight="1" x14ac:dyDescent="0.25">
      <c r="A42" s="7">
        <v>41</v>
      </c>
      <c r="B42" s="63">
        <v>19.561000823974609</v>
      </c>
      <c r="D42" s="137"/>
      <c r="E42" s="136"/>
      <c r="F42" s="135"/>
    </row>
    <row r="43" spans="1:6" ht="15" customHeight="1" x14ac:dyDescent="0.25">
      <c r="A43" s="7">
        <v>42</v>
      </c>
      <c r="B43" s="63">
        <v>19.538000106811523</v>
      </c>
      <c r="D43" s="137"/>
      <c r="E43" s="136"/>
      <c r="F43" s="135"/>
    </row>
    <row r="44" spans="1:6" ht="15" customHeight="1" x14ac:dyDescent="0.25">
      <c r="A44" s="7">
        <v>43</v>
      </c>
      <c r="B44" s="63">
        <v>16.368999481201172</v>
      </c>
      <c r="D44" s="137">
        <f>Calculation!H44</f>
        <v>16.348666508992512</v>
      </c>
      <c r="E44" s="136">
        <f>Calculation!I44</f>
        <v>1.8770005212945994E-2</v>
      </c>
      <c r="F44" s="135" t="str">
        <f t="shared" ref="F44" si="13">IF(E44&gt;0.4,"Delete the Outlier","")</f>
        <v/>
      </c>
    </row>
    <row r="45" spans="1:6" ht="15" customHeight="1" x14ac:dyDescent="0.25">
      <c r="A45" s="7">
        <v>44</v>
      </c>
      <c r="B45" s="63">
        <v>16.344999313354492</v>
      </c>
      <c r="D45" s="137"/>
      <c r="E45" s="136"/>
      <c r="F45" s="135"/>
    </row>
    <row r="46" spans="1:6" ht="15" customHeight="1" x14ac:dyDescent="0.25">
      <c r="A46" s="7">
        <v>45</v>
      </c>
      <c r="B46" s="63">
        <v>16.332000732421875</v>
      </c>
      <c r="D46" s="137"/>
      <c r="E46" s="136"/>
      <c r="F46" s="135"/>
    </row>
    <row r="47" spans="1:6" ht="15" customHeight="1" x14ac:dyDescent="0.25">
      <c r="A47" s="7">
        <v>46</v>
      </c>
      <c r="B47" s="63">
        <v>17.655000686645508</v>
      </c>
      <c r="D47" s="137">
        <f>Calculation!H47</f>
        <v>17.640000025431316</v>
      </c>
      <c r="E47" s="136">
        <f>Calculation!I47</f>
        <v>1.4526460392503354E-2</v>
      </c>
      <c r="F47" s="135" t="str">
        <f t="shared" ref="F47" si="14">IF(E47&gt;0.4,"Delete the Outlier","")</f>
        <v/>
      </c>
    </row>
    <row r="48" spans="1:6" ht="15" customHeight="1" x14ac:dyDescent="0.25">
      <c r="A48" s="7">
        <v>47</v>
      </c>
      <c r="B48" s="63">
        <v>17.625999450683594</v>
      </c>
      <c r="D48" s="137"/>
      <c r="E48" s="136"/>
      <c r="F48" s="135"/>
    </row>
    <row r="49" spans="1:6" ht="15" customHeight="1" x14ac:dyDescent="0.25">
      <c r="A49" s="7">
        <v>48</v>
      </c>
      <c r="B49" s="63">
        <v>17.638999938964844</v>
      </c>
      <c r="D49" s="137"/>
      <c r="E49" s="136"/>
      <c r="F49" s="135"/>
    </row>
    <row r="50" spans="1:6" ht="15" customHeight="1" x14ac:dyDescent="0.25">
      <c r="A50" s="7">
        <v>49</v>
      </c>
      <c r="B50" s="63">
        <v>19.643999099731445</v>
      </c>
      <c r="D50" s="137">
        <f>Calculation!H50</f>
        <v>19.644333521525066</v>
      </c>
      <c r="E50" s="136">
        <f>Calculation!I50</f>
        <v>1.3503319825877498E-2</v>
      </c>
      <c r="F50" s="135" t="str">
        <f t="shared" ref="F50" si="15">IF(E50&gt;0.4,"Delete the Outlier","")</f>
        <v/>
      </c>
    </row>
    <row r="51" spans="1:6" ht="15" customHeight="1" x14ac:dyDescent="0.25">
      <c r="A51" s="7">
        <v>50</v>
      </c>
      <c r="B51" s="63">
        <v>19.631000518798828</v>
      </c>
      <c r="D51" s="137"/>
      <c r="E51" s="136"/>
      <c r="F51" s="135"/>
    </row>
    <row r="52" spans="1:6" ht="15" customHeight="1" x14ac:dyDescent="0.25">
      <c r="A52" s="7">
        <v>51</v>
      </c>
      <c r="B52" s="63">
        <v>19.658000946044922</v>
      </c>
      <c r="D52" s="137"/>
      <c r="E52" s="136"/>
      <c r="F52" s="135"/>
    </row>
    <row r="53" spans="1:6" ht="15" customHeight="1" x14ac:dyDescent="0.25">
      <c r="A53" s="7">
        <v>52</v>
      </c>
      <c r="B53" s="63">
        <v>22.575000762939453</v>
      </c>
      <c r="D53" s="137">
        <f>Calculation!H53</f>
        <v>22.569000244140625</v>
      </c>
      <c r="E53" s="136">
        <f>Calculation!I53</f>
        <v>6.000518798828125E-3</v>
      </c>
      <c r="F53" s="135" t="str">
        <f t="shared" ref="F53" si="16">IF(E53&gt;0.4,"Delete the Outlier","")</f>
        <v/>
      </c>
    </row>
    <row r="54" spans="1:6" ht="15" customHeight="1" x14ac:dyDescent="0.25">
      <c r="A54" s="7">
        <v>53</v>
      </c>
      <c r="B54" s="63">
        <v>22.562999725341797</v>
      </c>
      <c r="D54" s="137"/>
      <c r="E54" s="136"/>
      <c r="F54" s="135"/>
    </row>
    <row r="55" spans="1:6" ht="15" customHeight="1" x14ac:dyDescent="0.25">
      <c r="A55" s="7">
        <v>54</v>
      </c>
      <c r="B55" s="63">
        <v>22.569000244140625</v>
      </c>
      <c r="D55" s="137"/>
      <c r="E55" s="136"/>
      <c r="F55" s="135"/>
    </row>
    <row r="56" spans="1:6" ht="15" customHeight="1" x14ac:dyDescent="0.25">
      <c r="A56" s="7">
        <v>55</v>
      </c>
      <c r="B56" s="63">
        <v>21.097999572753906</v>
      </c>
      <c r="D56" s="137">
        <f>Calculation!H56</f>
        <v>21.031999588012695</v>
      </c>
      <c r="E56" s="136">
        <f>Calculation!I56</f>
        <v>5.7471673640701597E-2</v>
      </c>
      <c r="F56" s="135" t="str">
        <f t="shared" ref="F56" si="17">IF(E56&gt;0.4,"Delete the Outlier","")</f>
        <v/>
      </c>
    </row>
    <row r="57" spans="1:6" ht="15" customHeight="1" x14ac:dyDescent="0.25">
      <c r="A57" s="7">
        <v>56</v>
      </c>
      <c r="B57" s="63">
        <v>20.993000030517578</v>
      </c>
      <c r="D57" s="137"/>
      <c r="E57" s="136"/>
      <c r="F57" s="135"/>
    </row>
    <row r="58" spans="1:6" ht="15" customHeight="1" x14ac:dyDescent="0.25">
      <c r="A58" s="7">
        <v>57</v>
      </c>
      <c r="B58" s="63">
        <v>21.004999160766602</v>
      </c>
      <c r="D58" s="137"/>
      <c r="E58" s="136"/>
      <c r="F58" s="135"/>
    </row>
    <row r="59" spans="1:6" ht="15" customHeight="1" x14ac:dyDescent="0.25">
      <c r="A59" s="7">
        <v>58</v>
      </c>
      <c r="B59" s="63">
        <v>23.975000381469727</v>
      </c>
      <c r="D59" s="137">
        <f>Calculation!H59</f>
        <v>24.001667022705078</v>
      </c>
      <c r="E59" s="136">
        <f>Calculation!I59</f>
        <v>7.4661545657408915E-2</v>
      </c>
      <c r="F59" s="135" t="str">
        <f t="shared" ref="F59" si="18">IF(E59&gt;0.4,"Delete the Outlier","")</f>
        <v/>
      </c>
    </row>
    <row r="60" spans="1:6" ht="15" customHeight="1" x14ac:dyDescent="0.25">
      <c r="A60" s="7">
        <v>59</v>
      </c>
      <c r="B60" s="63">
        <v>23.944000244140625</v>
      </c>
      <c r="D60" s="137"/>
      <c r="E60" s="136"/>
      <c r="F60" s="135"/>
    </row>
    <row r="61" spans="1:6" ht="15" customHeight="1" x14ac:dyDescent="0.25">
      <c r="A61" s="7">
        <v>60</v>
      </c>
      <c r="B61" s="63">
        <v>24.086000442504883</v>
      </c>
      <c r="D61" s="137"/>
      <c r="E61" s="136"/>
      <c r="F61" s="135"/>
    </row>
    <row r="62" spans="1:6" ht="15" customHeight="1" x14ac:dyDescent="0.25">
      <c r="A62" s="7">
        <v>61</v>
      </c>
      <c r="B62" s="63">
        <v>21.302000045776367</v>
      </c>
      <c r="D62" s="137">
        <f>Calculation!H62</f>
        <v>21.275999704996746</v>
      </c>
      <c r="E62" s="136">
        <f>Calculation!I62</f>
        <v>2.7055934474581711E-2</v>
      </c>
      <c r="F62" s="135" t="str">
        <f t="shared" ref="F62" si="19">IF(E62&gt;0.4,"Delete the Outlier","")</f>
        <v/>
      </c>
    </row>
    <row r="63" spans="1:6" ht="15" customHeight="1" x14ac:dyDescent="0.25">
      <c r="A63" s="7">
        <v>62</v>
      </c>
      <c r="B63" s="63">
        <v>21.277999877929688</v>
      </c>
      <c r="D63" s="137"/>
      <c r="E63" s="136"/>
      <c r="F63" s="135"/>
    </row>
    <row r="64" spans="1:6" ht="15" customHeight="1" x14ac:dyDescent="0.25">
      <c r="A64" s="7">
        <v>63</v>
      </c>
      <c r="B64" s="63">
        <v>21.24799919128418</v>
      </c>
      <c r="D64" s="137"/>
      <c r="E64" s="136"/>
      <c r="F64" s="135"/>
    </row>
    <row r="65" spans="1:6" ht="15" customHeight="1" x14ac:dyDescent="0.25">
      <c r="A65" s="7">
        <v>64</v>
      </c>
      <c r="B65" s="63">
        <v>25.153999328613281</v>
      </c>
      <c r="D65" s="137">
        <f>Calculation!H65</f>
        <v>25.223666508992512</v>
      </c>
      <c r="E65" s="136">
        <f>Calculation!I65</f>
        <v>6.8530317184718872E-2</v>
      </c>
      <c r="F65" s="135" t="str">
        <f t="shared" ref="F65" si="20">IF(E65&gt;0.4,"Delete the Outlier","")</f>
        <v/>
      </c>
    </row>
    <row r="66" spans="1:6" ht="15" customHeight="1" x14ac:dyDescent="0.25">
      <c r="A66" s="7">
        <v>65</v>
      </c>
      <c r="B66" s="63">
        <v>25.291000366210938</v>
      </c>
      <c r="D66" s="137"/>
      <c r="E66" s="136"/>
      <c r="F66" s="135"/>
    </row>
    <row r="67" spans="1:6" ht="15" customHeight="1" x14ac:dyDescent="0.25">
      <c r="A67" s="7">
        <v>66</v>
      </c>
      <c r="B67" s="63">
        <v>25.22599983215332</v>
      </c>
      <c r="D67" s="137"/>
      <c r="E67" s="136"/>
      <c r="F67" s="135"/>
    </row>
    <row r="68" spans="1:6" ht="15" customHeight="1" x14ac:dyDescent="0.25">
      <c r="A68" s="7">
        <v>67</v>
      </c>
      <c r="B68" s="63">
        <v>17.583999633789063</v>
      </c>
      <c r="D68" s="137">
        <f>Calculation!H68</f>
        <v>17.539666493733723</v>
      </c>
      <c r="E68" s="136">
        <f>Calculation!I68</f>
        <v>3.9323096962696952E-2</v>
      </c>
      <c r="F68" s="135" t="str">
        <f t="shared" ref="F68" si="21">IF(E68&gt;0.4,"Delete the Outlier","")</f>
        <v/>
      </c>
    </row>
    <row r="69" spans="1:6" ht="15" customHeight="1" x14ac:dyDescent="0.25">
      <c r="A69" s="7">
        <v>68</v>
      </c>
      <c r="B69" s="63">
        <v>17.525999069213867</v>
      </c>
      <c r="D69" s="137"/>
      <c r="E69" s="136"/>
      <c r="F69" s="135"/>
    </row>
    <row r="70" spans="1:6" ht="15" customHeight="1" x14ac:dyDescent="0.25">
      <c r="A70" s="7">
        <v>69</v>
      </c>
      <c r="B70" s="63">
        <v>17.509000778198242</v>
      </c>
      <c r="D70" s="137"/>
      <c r="E70" s="136"/>
      <c r="F70" s="135"/>
    </row>
    <row r="71" spans="1:6" ht="15" customHeight="1" x14ac:dyDescent="0.25">
      <c r="A71" s="7">
        <v>70</v>
      </c>
      <c r="B71" s="63">
        <v>20.003999710083008</v>
      </c>
      <c r="D71" s="137">
        <f>Calculation!H71</f>
        <v>20.086000442504883</v>
      </c>
      <c r="E71" s="136">
        <f>Calculation!I71</f>
        <v>7.1358879342712456E-2</v>
      </c>
      <c r="F71" s="135" t="str">
        <f t="shared" ref="F71" si="22">IF(E71&gt;0.4,"Delete the Outlier","")</f>
        <v/>
      </c>
    </row>
    <row r="72" spans="1:6" ht="15" customHeight="1" x14ac:dyDescent="0.25">
      <c r="A72" s="7">
        <v>71</v>
      </c>
      <c r="B72" s="63">
        <v>20.134000778198242</v>
      </c>
      <c r="D72" s="137"/>
      <c r="E72" s="136"/>
      <c r="F72" s="135"/>
    </row>
    <row r="73" spans="1:6" ht="15" customHeight="1" x14ac:dyDescent="0.25">
      <c r="A73" s="7">
        <v>72</v>
      </c>
      <c r="B73" s="63">
        <v>20.120000839233398</v>
      </c>
      <c r="D73" s="137"/>
      <c r="E73" s="136"/>
      <c r="F73" s="135"/>
    </row>
    <row r="74" spans="1:6" ht="15" customHeight="1" x14ac:dyDescent="0.25">
      <c r="A74" s="7">
        <v>73</v>
      </c>
      <c r="B74" s="63">
        <v>18.892000198364258</v>
      </c>
      <c r="D74" s="137">
        <f>Calculation!H74</f>
        <v>18.857333501180012</v>
      </c>
      <c r="E74" s="136">
        <f>Calculation!I74</f>
        <v>4.3154877298762544E-2</v>
      </c>
      <c r="F74" s="135" t="str">
        <f t="shared" ref="F74" si="23">IF(E74&gt;0.4,"Delete the Outlier","")</f>
        <v/>
      </c>
    </row>
    <row r="75" spans="1:6" ht="15" customHeight="1" x14ac:dyDescent="0.25">
      <c r="A75" s="7">
        <v>74</v>
      </c>
      <c r="B75" s="63">
        <v>18.871000289916992</v>
      </c>
      <c r="D75" s="137"/>
      <c r="E75" s="136"/>
      <c r="F75" s="135"/>
    </row>
    <row r="76" spans="1:6" ht="15" customHeight="1" x14ac:dyDescent="0.25">
      <c r="A76" s="7">
        <v>75</v>
      </c>
      <c r="B76" s="63">
        <v>18.809000015258789</v>
      </c>
      <c r="D76" s="137"/>
      <c r="E76" s="136"/>
      <c r="F76" s="135"/>
    </row>
    <row r="77" spans="1:6" ht="15" customHeight="1" x14ac:dyDescent="0.25">
      <c r="A77" s="7">
        <v>76</v>
      </c>
      <c r="B77" s="63">
        <v>21.336000442504883</v>
      </c>
      <c r="D77" s="137">
        <f>Calculation!H77</f>
        <v>21.353333155314129</v>
      </c>
      <c r="E77" s="136">
        <f>Calculation!I77</f>
        <v>2.5813046212900891E-2</v>
      </c>
      <c r="F77" s="135" t="str">
        <f t="shared" ref="F77" si="24">IF(E77&gt;0.4,"Delete the Outlier","")</f>
        <v/>
      </c>
    </row>
    <row r="78" spans="1:6" ht="15" customHeight="1" x14ac:dyDescent="0.25">
      <c r="A78" s="7">
        <v>77</v>
      </c>
      <c r="B78" s="63">
        <v>21.382999420166016</v>
      </c>
      <c r="D78" s="137"/>
      <c r="E78" s="136"/>
      <c r="F78" s="135"/>
    </row>
    <row r="79" spans="1:6" ht="15" customHeight="1" x14ac:dyDescent="0.25">
      <c r="A79" s="7">
        <v>78</v>
      </c>
      <c r="B79" s="63">
        <v>21.340999603271484</v>
      </c>
      <c r="D79" s="137"/>
      <c r="E79" s="136"/>
      <c r="F79" s="135"/>
    </row>
    <row r="80" spans="1:6" ht="15" customHeight="1" x14ac:dyDescent="0.25">
      <c r="A80" s="7">
        <v>79</v>
      </c>
      <c r="B80" s="63">
        <v>18.86400032043457</v>
      </c>
      <c r="D80" s="137">
        <f>Calculation!H80</f>
        <v>18.845000584920246</v>
      </c>
      <c r="E80" s="136">
        <f>Calculation!I80</f>
        <v>1.6822376627557031E-2</v>
      </c>
      <c r="F80" s="135" t="str">
        <f t="shared" ref="F80" si="25">IF(E80&gt;0.4,"Delete the Outlier","")</f>
        <v/>
      </c>
    </row>
    <row r="81" spans="1:8" ht="15" customHeight="1" x14ac:dyDescent="0.25">
      <c r="A81" s="7">
        <v>80</v>
      </c>
      <c r="B81" s="63">
        <v>18.832000732421875</v>
      </c>
      <c r="D81" s="137"/>
      <c r="E81" s="136"/>
      <c r="F81" s="135"/>
    </row>
    <row r="82" spans="1:8" ht="15" customHeight="1" x14ac:dyDescent="0.25">
      <c r="A82" s="7">
        <v>81</v>
      </c>
      <c r="B82" s="63">
        <v>18.839000701904297</v>
      </c>
      <c r="D82" s="137"/>
      <c r="E82" s="136"/>
      <c r="F82" s="135"/>
    </row>
    <row r="83" spans="1:8" ht="15" customHeight="1" x14ac:dyDescent="0.25">
      <c r="A83" s="7">
        <v>82</v>
      </c>
      <c r="B83" s="63">
        <v>21.260000228881836</v>
      </c>
      <c r="D83" s="137">
        <f>Calculation!H83</f>
        <v>21.293000539143879</v>
      </c>
      <c r="E83" s="136">
        <f>Calculation!I83</f>
        <v>2.9816388851593292E-2</v>
      </c>
      <c r="F83" s="135" t="str">
        <f t="shared" ref="F83" si="26">IF(E83&gt;0.4,"Delete the Outlier","")</f>
        <v/>
      </c>
    </row>
    <row r="84" spans="1:8" ht="15" customHeight="1" x14ac:dyDescent="0.25">
      <c r="A84" s="7">
        <v>83</v>
      </c>
      <c r="B84" s="63">
        <v>21.301000595092773</v>
      </c>
      <c r="D84" s="137"/>
      <c r="E84" s="136"/>
      <c r="F84" s="135"/>
    </row>
    <row r="85" spans="1:8" ht="15" customHeight="1" x14ac:dyDescent="0.25">
      <c r="A85" s="7">
        <v>84</v>
      </c>
      <c r="B85" s="63">
        <v>21.318000793457031</v>
      </c>
      <c r="D85" s="137"/>
      <c r="E85" s="136"/>
      <c r="F85" s="135"/>
    </row>
    <row r="86" spans="1:8" ht="15" customHeight="1" x14ac:dyDescent="0.25">
      <c r="A86" s="7">
        <v>85</v>
      </c>
      <c r="B86" s="63">
        <v>16.680000305175781</v>
      </c>
      <c r="D86" s="137">
        <f>Calculation!H86</f>
        <v>16.668333689371746</v>
      </c>
      <c r="E86" s="136">
        <f>Calculation!I86</f>
        <v>1.2582840128351725E-2</v>
      </c>
      <c r="F86" s="135" t="str">
        <f t="shared" ref="F86" si="27">IF(E86&gt;0.4,"Delete the Outlier","")</f>
        <v/>
      </c>
    </row>
    <row r="87" spans="1:8" ht="15" customHeight="1" x14ac:dyDescent="0.25">
      <c r="A87" s="7">
        <v>86</v>
      </c>
      <c r="B87" s="63">
        <v>16.670000076293945</v>
      </c>
      <c r="D87" s="137"/>
      <c r="E87" s="136"/>
      <c r="F87" s="135"/>
    </row>
    <row r="88" spans="1:8" ht="15" customHeight="1" x14ac:dyDescent="0.25">
      <c r="A88" s="7">
        <v>87</v>
      </c>
      <c r="B88" s="63">
        <v>16.655000686645508</v>
      </c>
      <c r="D88" s="137"/>
      <c r="E88" s="136"/>
      <c r="F88" s="135"/>
    </row>
    <row r="89" spans="1:8" ht="15" customHeight="1" x14ac:dyDescent="0.25">
      <c r="A89" s="7">
        <v>88</v>
      </c>
      <c r="B89" s="63">
        <v>17.135000228881836</v>
      </c>
      <c r="D89" s="137">
        <f>Calculation!H89</f>
        <v>17.142666498819988</v>
      </c>
      <c r="E89" s="136">
        <f>Calculation!I89</f>
        <v>1.8717000314985938E-2</v>
      </c>
      <c r="F89" s="135" t="str">
        <f t="shared" ref="F89" si="28">IF(E89&gt;0.4,"Delete the Outlier","")</f>
        <v/>
      </c>
    </row>
    <row r="90" spans="1:8" ht="15" customHeight="1" x14ac:dyDescent="0.25">
      <c r="A90" s="7">
        <v>89</v>
      </c>
      <c r="B90" s="63">
        <v>17.128999710083008</v>
      </c>
      <c r="D90" s="137"/>
      <c r="E90" s="136"/>
      <c r="F90" s="135"/>
    </row>
    <row r="91" spans="1:8" ht="15" customHeight="1" x14ac:dyDescent="0.25">
      <c r="A91" s="7">
        <v>90</v>
      </c>
      <c r="B91" s="63">
        <v>17.163999557495117</v>
      </c>
      <c r="D91" s="137"/>
      <c r="E91" s="136"/>
      <c r="F91" s="135"/>
    </row>
    <row r="92" spans="1:8" ht="15" customHeight="1" x14ac:dyDescent="0.25">
      <c r="A92" s="7">
        <v>91</v>
      </c>
      <c r="B92" s="63">
        <v>18.625999450683594</v>
      </c>
      <c r="D92" s="137">
        <f>Calculation!H92</f>
        <v>18.603333155314129</v>
      </c>
      <c r="E92" s="136">
        <f>Calculation!I92</f>
        <v>1.9857405272706588E-2</v>
      </c>
      <c r="F92" s="135" t="str">
        <f t="shared" ref="F92" si="29">IF(E92&gt;0.4,"Delete the Outlier","")</f>
        <v/>
      </c>
    </row>
    <row r="93" spans="1:8" ht="15" customHeight="1" x14ac:dyDescent="0.25">
      <c r="A93" s="7">
        <v>92</v>
      </c>
      <c r="B93" s="63">
        <v>18.589000701904297</v>
      </c>
      <c r="D93" s="137"/>
      <c r="E93" s="136"/>
      <c r="F93" s="135"/>
    </row>
    <row r="94" spans="1:8" ht="15" customHeight="1" x14ac:dyDescent="0.25">
      <c r="A94" s="7">
        <v>93</v>
      </c>
      <c r="B94" s="63">
        <v>18.594999313354492</v>
      </c>
      <c r="D94" s="137"/>
      <c r="E94" s="136"/>
      <c r="F94" s="135"/>
      <c r="G94" s="3"/>
      <c r="H94" s="3"/>
    </row>
    <row r="95" spans="1:8" ht="15" customHeight="1" x14ac:dyDescent="0.25">
      <c r="A95" s="7">
        <v>94</v>
      </c>
      <c r="B95" s="63">
        <v>19.169000625610352</v>
      </c>
      <c r="D95" s="137">
        <f>Calculation!H95</f>
        <v>19.196000417073567</v>
      </c>
      <c r="E95" s="136">
        <f>Calculation!I95</f>
        <v>2.4879574763224915E-2</v>
      </c>
      <c r="F95" s="135" t="str">
        <f t="shared" ref="F95" si="30">IF(E95&gt;0.4,"Delete the Outlier","")</f>
        <v/>
      </c>
      <c r="G95" s="3"/>
      <c r="H95" s="3"/>
    </row>
    <row r="96" spans="1:8" ht="15" customHeight="1" x14ac:dyDescent="0.25">
      <c r="A96" s="7">
        <v>95</v>
      </c>
      <c r="B96" s="63">
        <v>19.201000213623047</v>
      </c>
      <c r="D96" s="137"/>
      <c r="E96" s="136"/>
      <c r="F96" s="135"/>
    </row>
    <row r="97" spans="1:6" ht="15" customHeight="1" x14ac:dyDescent="0.25">
      <c r="A97" s="7">
        <v>96</v>
      </c>
      <c r="B97" s="63">
        <v>19.218000411987305</v>
      </c>
      <c r="D97" s="137"/>
      <c r="E97" s="136"/>
      <c r="F97" s="135"/>
    </row>
  </sheetData>
  <mergeCells count="97">
    <mergeCell ref="K2:K4"/>
    <mergeCell ref="F95:F97"/>
    <mergeCell ref="E95:E97"/>
    <mergeCell ref="D95:D97"/>
    <mergeCell ref="F89:F91"/>
    <mergeCell ref="E89:E91"/>
    <mergeCell ref="D89:D91"/>
    <mergeCell ref="F92:F94"/>
    <mergeCell ref="E92:E94"/>
    <mergeCell ref="D92:D94"/>
    <mergeCell ref="F83:F85"/>
    <mergeCell ref="E83:E85"/>
    <mergeCell ref="D83:D85"/>
    <mergeCell ref="F86:F88"/>
    <mergeCell ref="E86:E88"/>
    <mergeCell ref="D86:D88"/>
    <mergeCell ref="F77:F79"/>
    <mergeCell ref="E77:E79"/>
    <mergeCell ref="D77:D79"/>
    <mergeCell ref="F80:F82"/>
    <mergeCell ref="E80:E82"/>
    <mergeCell ref="D80:D82"/>
    <mergeCell ref="F71:F73"/>
    <mergeCell ref="E71:E73"/>
    <mergeCell ref="D71:D73"/>
    <mergeCell ref="F74:F76"/>
    <mergeCell ref="E74:E76"/>
    <mergeCell ref="D74:D76"/>
    <mergeCell ref="F65:F67"/>
    <mergeCell ref="E65:E67"/>
    <mergeCell ref="D65:D67"/>
    <mergeCell ref="F68:F70"/>
    <mergeCell ref="E68:E70"/>
    <mergeCell ref="D68:D70"/>
    <mergeCell ref="F59:F61"/>
    <mergeCell ref="E59:E61"/>
    <mergeCell ref="D59:D61"/>
    <mergeCell ref="F62:F64"/>
    <mergeCell ref="E62:E64"/>
    <mergeCell ref="D62:D64"/>
    <mergeCell ref="F53:F55"/>
    <mergeCell ref="E53:E55"/>
    <mergeCell ref="D53:D55"/>
    <mergeCell ref="F56:F58"/>
    <mergeCell ref="E56:E58"/>
    <mergeCell ref="D56:D58"/>
    <mergeCell ref="F47:F49"/>
    <mergeCell ref="E47:E49"/>
    <mergeCell ref="D47:D49"/>
    <mergeCell ref="F50:F52"/>
    <mergeCell ref="E50:E52"/>
    <mergeCell ref="D50:D52"/>
    <mergeCell ref="F41:F43"/>
    <mergeCell ref="E41:E43"/>
    <mergeCell ref="D41:D43"/>
    <mergeCell ref="F44:F46"/>
    <mergeCell ref="E44:E46"/>
    <mergeCell ref="D44:D46"/>
    <mergeCell ref="F2:F4"/>
    <mergeCell ref="E2:E4"/>
    <mergeCell ref="D2:D4"/>
    <mergeCell ref="F5:F7"/>
    <mergeCell ref="E5:E7"/>
    <mergeCell ref="D5:D7"/>
    <mergeCell ref="F8:F10"/>
    <mergeCell ref="E8:E10"/>
    <mergeCell ref="D8:D10"/>
    <mergeCell ref="F11:F13"/>
    <mergeCell ref="E11:E13"/>
    <mergeCell ref="D11:D13"/>
    <mergeCell ref="F14:F16"/>
    <mergeCell ref="E14:E16"/>
    <mergeCell ref="D14:D16"/>
    <mergeCell ref="F17:F19"/>
    <mergeCell ref="E17:E19"/>
    <mergeCell ref="D17:D19"/>
    <mergeCell ref="F20:F22"/>
    <mergeCell ref="E20:E22"/>
    <mergeCell ref="D20:D22"/>
    <mergeCell ref="F23:F25"/>
    <mergeCell ref="E23:E25"/>
    <mergeCell ref="D23:D25"/>
    <mergeCell ref="F26:F28"/>
    <mergeCell ref="E26:E28"/>
    <mergeCell ref="D26:D28"/>
    <mergeCell ref="F29:F31"/>
    <mergeCell ref="E29:E31"/>
    <mergeCell ref="D29:D31"/>
    <mergeCell ref="F38:F40"/>
    <mergeCell ref="E38:E40"/>
    <mergeCell ref="D38:D40"/>
    <mergeCell ref="F32:F34"/>
    <mergeCell ref="E32:E34"/>
    <mergeCell ref="D32:D34"/>
    <mergeCell ref="F35:F37"/>
    <mergeCell ref="E35:E37"/>
    <mergeCell ref="D35:D37"/>
  </mergeCells>
  <conditionalFormatting sqref="E2 E5 E8 E11 E14 E17 E20 E23 E26 E29 E32 E35 E38 E41 E44 E47 E50 E53 E56 E59 E62 E65 E68 E71 E74 E77 E80 E83 E86 E89 E92 E95">
    <cfRule type="cellIs" dxfId="0" priority="7" stopIfTrue="1" operator="greaterThan">
      <formula>0.4</formula>
    </cfRule>
  </conditionalFormatting>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zoomScaleNormal="100" workbookViewId="0">
      <selection sqref="A1:A2"/>
    </sheetView>
  </sheetViews>
  <sheetFormatPr defaultColWidth="9.140625" defaultRowHeight="15" customHeight="1" x14ac:dyDescent="0.25"/>
  <cols>
    <col min="1" max="1" width="20.7109375" style="8" customWidth="1"/>
    <col min="2" max="4" width="10.7109375" style="8" customWidth="1"/>
    <col min="5" max="7" width="20.7109375" style="8" customWidth="1"/>
    <col min="8" max="8" width="50.7109375" style="8" customWidth="1"/>
    <col min="9" max="9" width="5.7109375" style="8" customWidth="1"/>
    <col min="10" max="16384" width="9.140625" style="8"/>
  </cols>
  <sheetData>
    <row r="1" spans="1:8" ht="15" customHeight="1" x14ac:dyDescent="0.25">
      <c r="A1" s="145" t="s">
        <v>7</v>
      </c>
      <c r="B1" s="147" t="s">
        <v>83</v>
      </c>
      <c r="C1" s="147"/>
      <c r="D1" s="147"/>
      <c r="E1" s="139" t="s">
        <v>137</v>
      </c>
      <c r="F1" s="139" t="s">
        <v>135</v>
      </c>
      <c r="G1" s="141" t="s">
        <v>136</v>
      </c>
      <c r="H1" s="143" t="s">
        <v>80</v>
      </c>
    </row>
    <row r="2" spans="1:8" ht="15" customHeight="1" x14ac:dyDescent="0.25">
      <c r="A2" s="146"/>
      <c r="B2" s="95" t="s">
        <v>37</v>
      </c>
      <c r="C2" s="95" t="s">
        <v>82</v>
      </c>
      <c r="D2" s="95" t="s">
        <v>13</v>
      </c>
      <c r="E2" s="140"/>
      <c r="F2" s="140"/>
      <c r="G2" s="142"/>
      <c r="H2" s="144"/>
    </row>
    <row r="3" spans="1:8" ht="15" customHeight="1" x14ac:dyDescent="0.25">
      <c r="A3" s="92" t="str">
        <f>IF('Raw Data &amp; Analysis Setup'!I2="","",'Raw Data &amp; Analysis Setup'!I2)</f>
        <v>Thyroid Tumor</v>
      </c>
      <c r="B3" s="75" t="str">
        <f>Calculation!AA3</f>
        <v>Pass</v>
      </c>
      <c r="C3" s="76">
        <f>Calculation!P3</f>
        <v>6.0310007731119844E-2</v>
      </c>
      <c r="D3" s="77" t="str">
        <f>IF(ISNUMBER(C3), IF(C3&gt;0.04, "Low","High"), "")</f>
        <v>Low</v>
      </c>
      <c r="E3" s="86">
        <f>IF(ISNUMBER('Raw Data &amp; Analysis Setup'!J2), 'Raw Data &amp; Analysis Setup'!J2, " ")</f>
        <v>36</v>
      </c>
      <c r="F3" s="87" t="str">
        <f>IF(AND(ISNUMBER(Calculation!S3),ISNUMBER('Raw Data &amp; Analysis Setup'!J2)),TEXT(Calculation!T3,"0.0")&amp;" - "&amp;TEXT(Calculation!U3,"0.0")&amp;" µL","")</f>
        <v>3.3 - 6.9 µL</v>
      </c>
      <c r="G3" s="61" t="str">
        <f>IF(Calculation!P3&lt;0.04,"40-100ng",IF(Calculation!Q3&lt;=9,"120-250ng",""))</f>
        <v>120-250ng</v>
      </c>
      <c r="H3" s="88" t="str">
        <f>IF(ISNUMBER(Calculation!R3),IF(Calculation!S3=" ","We do not recommend proceeding with this sample.",""), "")</f>
        <v/>
      </c>
    </row>
    <row r="4" spans="1:8" ht="15" customHeight="1" x14ac:dyDescent="0.25">
      <c r="A4" s="92" t="str">
        <f>IF('Raw Data &amp; Analysis Setup'!I3="","",'Raw Data &amp; Analysis Setup'!I3)</f>
        <v>Normal Thyroid</v>
      </c>
      <c r="B4" s="53" t="str">
        <f>Calculation!AA4</f>
        <v>Pass</v>
      </c>
      <c r="C4" s="54">
        <f>Calculation!P4</f>
        <v>2.3333326975504606E-2</v>
      </c>
      <c r="D4" s="55" t="str">
        <f t="shared" ref="D4:D17" si="0">IF(ISNUMBER(C4), IF(C4&gt;0.04, "Low","High"), "")</f>
        <v>High</v>
      </c>
      <c r="E4" s="85">
        <f>IF(ISNUMBER('Raw Data &amp; Analysis Setup'!J3), 'Raw Data &amp; Analysis Setup'!J3, " ")</f>
        <v>23</v>
      </c>
      <c r="F4" s="87" t="str">
        <f>IF(AND(ISNUMBER(Calculation!S4),ISNUMBER('Raw Data &amp; Analysis Setup'!J3)),TEXT(Calculation!T4,"0.0")&amp;" - "&amp;TEXT(Calculation!U4,"0.0")&amp;" µL","")</f>
        <v>1.7 - 4.3 µL</v>
      </c>
      <c r="G4" s="61" t="str">
        <f>IF(Calculation!P4&lt;0.04,"40-100ng",IF(Calculation!Q4&lt;=9,"120-250ng",""))</f>
        <v>40-100ng</v>
      </c>
      <c r="H4" s="88" t="str">
        <f>IF(ISNUMBER(Calculation!R4),IF(Calculation!S4=" ","We do not recommend proceeding with this sample.",""), "")</f>
        <v/>
      </c>
    </row>
    <row r="5" spans="1:8" ht="15" customHeight="1" x14ac:dyDescent="0.25">
      <c r="A5" s="92" t="str">
        <f>IF('Raw Data &amp; Analysis Setup'!I4="","",'Raw Data &amp; Analysis Setup'!I4)</f>
        <v>Melanoma 1</v>
      </c>
      <c r="B5" s="53" t="str">
        <f>Calculation!AA5</f>
        <v>Pass</v>
      </c>
      <c r="C5" s="54">
        <f>Calculation!P5</f>
        <v>1.8029994964599609E-2</v>
      </c>
      <c r="D5" s="55" t="str">
        <f t="shared" si="0"/>
        <v>High</v>
      </c>
      <c r="E5" s="85">
        <f>IF(ISNUMBER('Raw Data &amp; Analysis Setup'!J4), 'Raw Data &amp; Analysis Setup'!J4, " ")</f>
        <v>27</v>
      </c>
      <c r="F5" s="87" t="str">
        <f>IF(AND(ISNUMBER(Calculation!S5),ISNUMBER('Raw Data &amp; Analysis Setup'!J4)),TEXT(Calculation!T5,"0.0")&amp;" - "&amp;TEXT(Calculation!U5,"0.0")&amp;" µL","")</f>
        <v>1.5 - 3.7 µL</v>
      </c>
      <c r="G5" s="61" t="str">
        <f>IF(Calculation!P5&lt;0.04,"40-100ng",IF(Calculation!Q5&lt;=9,"120-250ng",""))</f>
        <v>40-100ng</v>
      </c>
      <c r="H5" s="88" t="str">
        <f>IF(ISNUMBER(Calculation!R5),IF(Calculation!S5=" ","We do not recommend proceeding with this sample.",""), "")</f>
        <v/>
      </c>
    </row>
    <row r="6" spans="1:8" ht="15" customHeight="1" x14ac:dyDescent="0.25">
      <c r="A6" s="92" t="str">
        <f>IF('Raw Data &amp; Analysis Setup'!I5="","",'Raw Data &amp; Analysis Setup'!I5)</f>
        <v>Paired Breast Tumor</v>
      </c>
      <c r="B6" s="53" t="str">
        <f>Calculation!AA6</f>
        <v>Pass</v>
      </c>
      <c r="C6" s="54">
        <f>Calculation!P6</f>
        <v>5.0441659291585311E-2</v>
      </c>
      <c r="D6" s="55" t="str">
        <f t="shared" si="0"/>
        <v>Low</v>
      </c>
      <c r="E6" s="85">
        <f>IF(ISNUMBER('Raw Data &amp; Analysis Setup'!J5), 'Raw Data &amp; Analysis Setup'!J5, " ")</f>
        <v>13</v>
      </c>
      <c r="F6" s="87" t="str">
        <f>IF(AND(ISNUMBER(Calculation!S6),ISNUMBER('Raw Data &amp; Analysis Setup'!J5)),TEXT(Calculation!T6,"0.0")&amp;" - "&amp;TEXT(Calculation!U6,"0.0")&amp;" µL","")</f>
        <v/>
      </c>
      <c r="G6" s="61" t="str">
        <f>IF(Calculation!P6&lt;0.04,"40-100ng",IF(Calculation!Q6&lt;=9,"120-250ng",""))</f>
        <v/>
      </c>
      <c r="H6" s="88" t="str">
        <f>IF(ISNUMBER(Calculation!R6),IF(Calculation!S6=" ","We do not recommend proceeding with this sample.",""), "")</f>
        <v>We do not recommend proceeding with this sample.</v>
      </c>
    </row>
    <row r="7" spans="1:8" ht="15" customHeight="1" x14ac:dyDescent="0.25">
      <c r="A7" s="92" t="str">
        <f>IF('Raw Data &amp; Analysis Setup'!I6="","",'Raw Data &amp; Analysis Setup'!I6)</f>
        <v>Paired Normal Breast</v>
      </c>
      <c r="B7" s="53" t="str">
        <f>Calculation!AA7</f>
        <v>Pass</v>
      </c>
      <c r="C7" s="54">
        <f>Calculation!P7</f>
        <v>4.2733325958251987E-2</v>
      </c>
      <c r="D7" s="55" t="str">
        <f t="shared" si="0"/>
        <v>Low</v>
      </c>
      <c r="E7" s="85">
        <f>IF(ISNUMBER('Raw Data &amp; Analysis Setup'!J6), 'Raw Data &amp; Analysis Setup'!J6, " ")</f>
        <v>9</v>
      </c>
      <c r="F7" s="87" t="str">
        <f>IF(AND(ISNUMBER(Calculation!S7),ISNUMBER('Raw Data &amp; Analysis Setup'!J6)),TEXT(Calculation!T7,"0.0")&amp;" - "&amp;TEXT(Calculation!U7,"0.0")&amp;" µL","")</f>
        <v>13.3 - 27.8 µL</v>
      </c>
      <c r="G7" s="61" t="str">
        <f>IF(Calculation!P7&lt;0.04,"40-100ng",IF(Calculation!Q7&lt;=9,"120-250ng",""))</f>
        <v>120-250ng</v>
      </c>
      <c r="H7" s="88" t="str">
        <f>IF(ISNUMBER(Calculation!R7),IF(Calculation!S7=" ","We do not recommend proceeding with this sample.",""), "")</f>
        <v/>
      </c>
    </row>
    <row r="8" spans="1:8" ht="15" customHeight="1" x14ac:dyDescent="0.25">
      <c r="A8" s="92" t="str">
        <f>IF('Raw Data &amp; Analysis Setup'!I7="","",'Raw Data &amp; Analysis Setup'!I7)</f>
        <v>Melanoma 2</v>
      </c>
      <c r="B8" s="53" t="str">
        <f>Calculation!AA8</f>
        <v>Pass</v>
      </c>
      <c r="C8" s="54">
        <f>Calculation!P8</f>
        <v>1.738665898640953E-2</v>
      </c>
      <c r="D8" s="55" t="str">
        <f t="shared" si="0"/>
        <v>High</v>
      </c>
      <c r="E8" s="85">
        <f>IF(ISNUMBER('Raw Data &amp; Analysis Setup'!J7), 'Raw Data &amp; Analysis Setup'!J7, " ")</f>
        <v>31</v>
      </c>
      <c r="F8" s="87" t="str">
        <f>IF(AND(ISNUMBER(Calculation!S8),ISNUMBER('Raw Data &amp; Analysis Setup'!J7)),TEXT(Calculation!T8,"0.0")&amp;" - "&amp;TEXT(Calculation!U8,"0.0")&amp;" µL","")</f>
        <v>1.3 - 3.2 µL</v>
      </c>
      <c r="G8" s="61" t="str">
        <f>IF(Calculation!P8&lt;0.04,"40-100ng",IF(Calculation!Q8&lt;=9,"120-250ng",""))</f>
        <v>40-100ng</v>
      </c>
      <c r="H8" s="88" t="str">
        <f>IF(ISNUMBER(Calculation!R8),IF(Calculation!S8=" ","We do not recommend proceeding with this sample.",""), "")</f>
        <v/>
      </c>
    </row>
    <row r="9" spans="1:8" ht="15" customHeight="1" x14ac:dyDescent="0.25">
      <c r="A9" s="92" t="str">
        <f>IF('Raw Data &amp; Analysis Setup'!I8="","",'Raw Data &amp; Analysis Setup'!I8)</f>
        <v>NTS (all-prep)</v>
      </c>
      <c r="B9" s="53" t="str">
        <f>Calculation!AA9</f>
        <v>Pass</v>
      </c>
      <c r="C9" s="54">
        <f>Calculation!P9</f>
        <v>1.1843331654866561E-2</v>
      </c>
      <c r="D9" s="55" t="str">
        <f t="shared" si="0"/>
        <v>High</v>
      </c>
      <c r="E9" s="85">
        <f>IF(ISNUMBER('Raw Data &amp; Analysis Setup'!J8), 'Raw Data &amp; Analysis Setup'!J8, " ")</f>
        <v>22</v>
      </c>
      <c r="F9" s="87" t="str">
        <f>IF(AND(ISNUMBER(Calculation!S9),ISNUMBER('Raw Data &amp; Analysis Setup'!J8)),TEXT(Calculation!T9,"0.0")&amp;" - "&amp;TEXT(Calculation!U9,"0.0")&amp;" µL","")</f>
        <v>1.8 - 4.5 µL</v>
      </c>
      <c r="G9" s="61" t="str">
        <f>IF(Calculation!P9&lt;0.04,"40-100ng",IF(Calculation!Q9&lt;=9,"120-250ng",""))</f>
        <v>40-100ng</v>
      </c>
      <c r="H9" s="88" t="str">
        <f>IF(ISNUMBER(Calculation!R9),IF(Calculation!S9=" ","We do not recommend proceeding with this sample.",""), "")</f>
        <v/>
      </c>
    </row>
    <row r="10" spans="1:8" ht="15" customHeight="1" x14ac:dyDescent="0.25">
      <c r="A10" s="92" t="str">
        <f>IF('Raw Data &amp; Analysis Setup'!I9="","",'Raw Data &amp; Analysis Setup'!I9)</f>
        <v>N30 (all-prep)</v>
      </c>
      <c r="B10" s="53" t="str">
        <f>Calculation!AA10</f>
        <v>Pass</v>
      </c>
      <c r="C10" s="54">
        <f>Calculation!P10</f>
        <v>6.986662546793667E-3</v>
      </c>
      <c r="D10" s="55" t="str">
        <f t="shared" si="0"/>
        <v>High</v>
      </c>
      <c r="E10" s="85">
        <f>IF(ISNUMBER('Raw Data &amp; Analysis Setup'!J9), 'Raw Data &amp; Analysis Setup'!J9, " ")</f>
        <v>52</v>
      </c>
      <c r="F10" s="87" t="str">
        <f>IF(AND(ISNUMBER(Calculation!S10),ISNUMBER('Raw Data &amp; Analysis Setup'!J9)),TEXT(Calculation!T10,"0.0")&amp;" - "&amp;TEXT(Calculation!U10,"0.0")&amp;" µL","")</f>
        <v>0.8 - 1.9 µL</v>
      </c>
      <c r="G10" s="61" t="str">
        <f>IF(Calculation!P10&lt;0.04,"40-100ng",IF(Calculation!Q10&lt;=9,"120-250ng",""))</f>
        <v>40-100ng</v>
      </c>
      <c r="H10" s="88" t="str">
        <f>IF(ISNUMBER(Calculation!R10),IF(Calculation!S10=" ","We do not recommend proceeding with this sample.",""), "")</f>
        <v/>
      </c>
    </row>
    <row r="11" spans="1:8" ht="15" customHeight="1" x14ac:dyDescent="0.25">
      <c r="A11" s="92" t="str">
        <f>IF('Raw Data &amp; Analysis Setup'!I10="","",'Raw Data &amp; Analysis Setup'!I10)</f>
        <v>PLT</v>
      </c>
      <c r="B11" s="53" t="str">
        <f>Calculation!AA11</f>
        <v>Pass</v>
      </c>
      <c r="C11" s="54">
        <f>Calculation!P11</f>
        <v>2.3319994608561212E-2</v>
      </c>
      <c r="D11" s="55" t="str">
        <f t="shared" si="0"/>
        <v>High</v>
      </c>
      <c r="E11" s="85">
        <f>IF(ISNUMBER('Raw Data &amp; Analysis Setup'!J10), 'Raw Data &amp; Analysis Setup'!J10, " ")</f>
        <v>14</v>
      </c>
      <c r="F11" s="87" t="str">
        <f>IF(AND(ISNUMBER(Calculation!S11),ISNUMBER('Raw Data &amp; Analysis Setup'!J10)),TEXT(Calculation!T11,"0.0")&amp;" - "&amp;TEXT(Calculation!U11,"0.0")&amp;" µL","")</f>
        <v>2.9 - 7.1 µL</v>
      </c>
      <c r="G11" s="61" t="str">
        <f>IF(Calculation!P11&lt;0.04,"40-100ng",IF(Calculation!Q11&lt;=9,"120-250ng",""))</f>
        <v>40-100ng</v>
      </c>
      <c r="H11" s="88" t="str">
        <f>IF(ISNUMBER(Calculation!R11),IF(Calculation!S11=" ","We do not recommend proceeding with this sample.",""), "")</f>
        <v/>
      </c>
    </row>
    <row r="12" spans="1:8" ht="15" customHeight="1" x14ac:dyDescent="0.25">
      <c r="A12" s="92" t="str">
        <f>IF('Raw Data &amp; Analysis Setup'!I11="","",'Raw Data &amp; Analysis Setup'!I11)</f>
        <v>PLN</v>
      </c>
      <c r="B12" s="53" t="str">
        <f>Calculation!AA12</f>
        <v>Pass</v>
      </c>
      <c r="C12" s="54">
        <f>Calculation!P12</f>
        <v>2.377000172932945E-2</v>
      </c>
      <c r="D12" s="55" t="str">
        <f t="shared" si="0"/>
        <v>High</v>
      </c>
      <c r="E12" s="85">
        <f>IF(ISNUMBER('Raw Data &amp; Analysis Setup'!J11), 'Raw Data &amp; Analysis Setup'!J11, " ")</f>
        <v>5</v>
      </c>
      <c r="F12" s="87" t="str">
        <f>IF(AND(ISNUMBER(Calculation!S12),ISNUMBER('Raw Data &amp; Analysis Setup'!J11)),TEXT(Calculation!T12,"0.0")&amp;" - "&amp;TEXT(Calculation!U12,"0.0")&amp;" µL","")</f>
        <v>8.0 - 20.0 µL</v>
      </c>
      <c r="G12" s="61" t="str">
        <f>IF(Calculation!P12&lt;0.04,"40-100ng",IF(Calculation!Q12&lt;=9,"120-250ng",""))</f>
        <v>40-100ng</v>
      </c>
      <c r="H12" s="88" t="str">
        <f>IF(ISNUMBER(Calculation!R12),IF(Calculation!S12=" ","We do not recommend proceeding with this sample.",""), "")</f>
        <v/>
      </c>
    </row>
    <row r="13" spans="1:8" ht="15" customHeight="1" x14ac:dyDescent="0.25">
      <c r="A13" s="92" t="str">
        <f>IF('Raw Data &amp; Analysis Setup'!I12="","",'Raw Data &amp; Analysis Setup'!I12)</f>
        <v>FFPE Melanoma</v>
      </c>
      <c r="B13" s="53" t="str">
        <f>Calculation!AA13</f>
        <v>Pass</v>
      </c>
      <c r="C13" s="54">
        <f>Calculation!P13</f>
        <v>3.3549995422363282E-2</v>
      </c>
      <c r="D13" s="55" t="str">
        <f t="shared" si="0"/>
        <v>High</v>
      </c>
      <c r="E13" s="85">
        <f>IF(ISNUMBER('Raw Data &amp; Analysis Setup'!J12), 'Raw Data &amp; Analysis Setup'!J12, " ")</f>
        <v>11</v>
      </c>
      <c r="F13" s="87" t="str">
        <f>IF(AND(ISNUMBER(Calculation!S13),ISNUMBER('Raw Data &amp; Analysis Setup'!J12)),TEXT(Calculation!T13,"0.0")&amp;" - "&amp;TEXT(Calculation!U13,"0.0")&amp;" µL","")</f>
        <v>3.6 - 9.1 µL</v>
      </c>
      <c r="G13" s="61" t="str">
        <f>IF(Calculation!P13&lt;0.04,"40-100ng",IF(Calculation!Q13&lt;=9,"120-250ng",""))</f>
        <v>40-100ng</v>
      </c>
      <c r="H13" s="88" t="str">
        <f>IF(ISNUMBER(Calculation!R13),IF(Calculation!S13=" ","We do not recommend proceeding with this sample.",""), "")</f>
        <v/>
      </c>
    </row>
    <row r="14" spans="1:8" ht="15" customHeight="1" x14ac:dyDescent="0.25">
      <c r="A14" s="92" t="str">
        <f>IF('Raw Data &amp; Analysis Setup'!I13="","",'Raw Data &amp; Analysis Setup'!I13)</f>
        <v>FFPE Colon</v>
      </c>
      <c r="B14" s="53" t="str">
        <f>Calculation!AA14</f>
        <v>Pass</v>
      </c>
      <c r="C14" s="54">
        <f>Calculation!P14</f>
        <v>1.9536666870117222E-2</v>
      </c>
      <c r="D14" s="55" t="str">
        <f t="shared" si="0"/>
        <v>High</v>
      </c>
      <c r="E14" s="85">
        <f>IF(ISNUMBER('Raw Data &amp; Analysis Setup'!J13), 'Raw Data &amp; Analysis Setup'!J13, " ")</f>
        <v>50</v>
      </c>
      <c r="F14" s="87" t="str">
        <f>IF(AND(ISNUMBER(Calculation!S14),ISNUMBER('Raw Data &amp; Analysis Setup'!J13)),TEXT(Calculation!T14,"0.0")&amp;" - "&amp;TEXT(Calculation!U14,"0.0")&amp;" µL","")</f>
        <v>0.8 - 2.0 µL</v>
      </c>
      <c r="G14" s="61" t="str">
        <f>IF(Calculation!P14&lt;0.04,"40-100ng",IF(Calculation!Q14&lt;=9,"120-250ng",""))</f>
        <v>40-100ng</v>
      </c>
      <c r="H14" s="88" t="str">
        <f>IF(ISNUMBER(Calculation!R14),IF(Calculation!S14=" ","We do not recommend proceeding with this sample.",""), "")</f>
        <v/>
      </c>
    </row>
    <row r="15" spans="1:8" ht="15" customHeight="1" x14ac:dyDescent="0.25">
      <c r="A15" s="92" t="str">
        <f>IF('Raw Data &amp; Analysis Setup'!I14="","",'Raw Data &amp; Analysis Setup'!I14)</f>
        <v>N19</v>
      </c>
      <c r="B15" s="53" t="str">
        <f>Calculation!AA15</f>
        <v>Pass</v>
      </c>
      <c r="C15" s="54">
        <f>Calculation!P15</f>
        <v>1.9033323923746792E-2</v>
      </c>
      <c r="D15" s="55" t="str">
        <f t="shared" si="0"/>
        <v>High</v>
      </c>
      <c r="E15" s="85">
        <f>IF(ISNUMBER('Raw Data &amp; Analysis Setup'!J14), 'Raw Data &amp; Analysis Setup'!J14, " ")</f>
        <v>14</v>
      </c>
      <c r="F15" s="87" t="str">
        <f>IF(AND(ISNUMBER(Calculation!S15),ISNUMBER('Raw Data &amp; Analysis Setup'!J14)),TEXT(Calculation!T15,"0.0")&amp;" - "&amp;TEXT(Calculation!U15,"0.0")&amp;" µL","")</f>
        <v>2.9 - 7.1 µL</v>
      </c>
      <c r="G15" s="61" t="str">
        <f>IF(Calculation!P15&lt;0.04,"40-100ng",IF(Calculation!Q15&lt;=9,"120-250ng",""))</f>
        <v>40-100ng</v>
      </c>
      <c r="H15" s="88" t="str">
        <f>IF(ISNUMBER(Calculation!R15),IF(Calculation!S15=" ","We do not recommend proceeding with this sample.",""), "")</f>
        <v/>
      </c>
    </row>
    <row r="16" spans="1:8" ht="15" customHeight="1" x14ac:dyDescent="0.25">
      <c r="A16" s="92" t="str">
        <f>IF('Raw Data &amp; Analysis Setup'!I15="","",'Raw Data &amp; Analysis Setup'!I15)</f>
        <v>N10</v>
      </c>
      <c r="B16" s="53" t="str">
        <f>Calculation!AA16</f>
        <v>Pass</v>
      </c>
      <c r="C16" s="54">
        <f>Calculation!P16</f>
        <v>1.8553326924641952E-2</v>
      </c>
      <c r="D16" s="55" t="str">
        <f t="shared" si="0"/>
        <v>High</v>
      </c>
      <c r="E16" s="85">
        <f>IF(ISNUMBER('Raw Data &amp; Analysis Setup'!J15), 'Raw Data &amp; Analysis Setup'!J15, " ")</f>
        <v>20</v>
      </c>
      <c r="F16" s="87" t="str">
        <f>IF(AND(ISNUMBER(Calculation!S16),ISNUMBER('Raw Data &amp; Analysis Setup'!J15)),TEXT(Calculation!T16,"0.0")&amp;" - "&amp;TEXT(Calculation!U16,"0.0")&amp;" µL","")</f>
        <v>2.0 - 5.0 µL</v>
      </c>
      <c r="G16" s="61" t="str">
        <f>IF(Calculation!P16&lt;0.04,"40-100ng",IF(Calculation!Q16&lt;=9,"120-250ng",""))</f>
        <v>40-100ng</v>
      </c>
      <c r="H16" s="88" t="str">
        <f>IF(ISNUMBER(Calculation!R16),IF(Calculation!S16=" ","We do not recommend proceeding with this sample.",""), "")</f>
        <v/>
      </c>
    </row>
    <row r="17" spans="1:8" ht="15" customHeight="1" thickBot="1" x14ac:dyDescent="0.3">
      <c r="A17" s="92" t="str">
        <f>IF('Raw Data &amp; Analysis Setup'!I16="","",'Raw Data &amp; Analysis Setup'!I16)</f>
        <v>NA12878</v>
      </c>
      <c r="B17" s="53" t="str">
        <f>Calculation!AA17</f>
        <v>Pass</v>
      </c>
      <c r="C17" s="56">
        <f>Calculation!P17</f>
        <v>-1.1833445231119555E-3</v>
      </c>
      <c r="D17" s="57" t="str">
        <f t="shared" si="0"/>
        <v>High</v>
      </c>
      <c r="E17" s="89">
        <f>IF(ISNUMBER('Raw Data &amp; Analysis Setup'!J16), 'Raw Data &amp; Analysis Setup'!J16, " ")</f>
        <v>20</v>
      </c>
      <c r="F17" s="58" t="str">
        <f>IF(AND(ISNUMBER(Calculation!S17),ISNUMBER('Raw Data &amp; Analysis Setup'!J16)),TEXT(Calculation!T17,"0.0")&amp;" - "&amp;TEXT(Calculation!U17,"0.0")&amp;" µL","")</f>
        <v>2.0 - 5.0 µL</v>
      </c>
      <c r="G17" s="62" t="str">
        <f>IF(Calculation!P17&lt;0.04,"40-100ng",IF(Calculation!Q17&lt;=9,"120-250ng",""))</f>
        <v>40-100ng</v>
      </c>
      <c r="H17" s="78" t="str">
        <f>IF(ISNUMBER(Calculation!R17),IF(Calculation!S17=" ","We do not recommend proceeding with this sample.",""), "")</f>
        <v/>
      </c>
    </row>
    <row r="18" spans="1:8" ht="15" customHeight="1" thickBot="1" x14ac:dyDescent="0.3">
      <c r="A18" s="93" t="str">
        <f>IF('Raw Data &amp; Analysis Setup'!I17="","",'Raw Data &amp; Analysis Setup'!I17)</f>
        <v>Control</v>
      </c>
      <c r="B18" s="74" t="str">
        <f>Calculation!AA18</f>
        <v>Pass</v>
      </c>
      <c r="C18" s="10"/>
      <c r="D18" s="11"/>
    </row>
    <row r="20" spans="1:8" ht="15" customHeight="1" x14ac:dyDescent="0.25">
      <c r="A20" s="2"/>
      <c r="B20" s="2"/>
      <c r="C20" s="2"/>
      <c r="D20" s="2"/>
    </row>
  </sheetData>
  <mergeCells count="6">
    <mergeCell ref="F1:F2"/>
    <mergeCell ref="G1:G2"/>
    <mergeCell ref="H1:H2"/>
    <mergeCell ref="E1:E2"/>
    <mergeCell ref="A1:A2"/>
    <mergeCell ref="B1:D1"/>
  </mergeCells>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
  <sheetViews>
    <sheetView zoomScaleNormal="100" workbookViewId="0"/>
  </sheetViews>
  <sheetFormatPr defaultColWidth="9.140625" defaultRowHeight="15" customHeight="1" x14ac:dyDescent="0.25"/>
  <cols>
    <col min="1" max="1" width="5.7109375" style="4" customWidth="1"/>
    <col min="2" max="2" width="10.7109375" style="17" customWidth="1"/>
    <col min="3" max="3" width="8.7109375" style="4" customWidth="1"/>
    <col min="4" max="4" width="15.7109375" style="4" customWidth="1"/>
    <col min="5" max="5" width="10.7109375" style="4" customWidth="1"/>
    <col min="6" max="6" width="16.7109375" style="4" customWidth="1"/>
    <col min="7" max="7" width="15.7109375" style="4" customWidth="1"/>
    <col min="8" max="8" width="10.7109375" style="4" customWidth="1"/>
    <col min="9" max="9" width="20.7109375" style="4" customWidth="1"/>
    <col min="10" max="10" width="10.7109375" style="4" customWidth="1"/>
    <col min="11" max="11" width="20.7109375" style="4" customWidth="1"/>
    <col min="12" max="12" width="5.7109375" style="4" customWidth="1"/>
    <col min="13" max="13" width="7.5703125" style="4" bestFit="1" customWidth="1"/>
    <col min="14" max="15" width="7.140625" style="4" bestFit="1" customWidth="1"/>
    <col min="16" max="16" width="6" style="4" bestFit="1" customWidth="1"/>
    <col min="17" max="17" width="7.140625" style="4" bestFit="1" customWidth="1"/>
    <col min="18" max="18" width="17.28515625" style="4" bestFit="1" customWidth="1"/>
    <col min="19" max="19" width="12.85546875" style="4" bestFit="1" customWidth="1"/>
    <col min="20" max="20" width="12.85546875" style="4" customWidth="1"/>
    <col min="21" max="21" width="12.42578125" style="4" bestFit="1" customWidth="1"/>
    <col min="22" max="22" width="5.7109375" style="4" customWidth="1"/>
    <col min="23" max="26" width="8.7109375" style="4" customWidth="1"/>
    <col min="27" max="27" width="10.7109375" style="4" customWidth="1"/>
    <col min="28" max="29" width="5.7109375" style="4" customWidth="1"/>
    <col min="30" max="16384" width="9.140625" style="4"/>
  </cols>
  <sheetData>
    <row r="1" spans="1:29" s="2" customFormat="1" ht="15" customHeight="1" x14ac:dyDescent="0.25">
      <c r="A1" s="14" t="s">
        <v>0</v>
      </c>
      <c r="B1" s="21" t="s">
        <v>11</v>
      </c>
      <c r="C1" s="22" t="s">
        <v>40</v>
      </c>
      <c r="D1" s="22" t="s">
        <v>8</v>
      </c>
      <c r="E1" s="22" t="s">
        <v>5</v>
      </c>
      <c r="F1" s="21" t="s">
        <v>43</v>
      </c>
      <c r="G1" s="21" t="s">
        <v>6</v>
      </c>
      <c r="H1" s="21" t="s">
        <v>39</v>
      </c>
      <c r="I1" s="21" t="s">
        <v>38</v>
      </c>
      <c r="J1" s="21" t="s">
        <v>41</v>
      </c>
      <c r="K1" s="21" t="s">
        <v>42</v>
      </c>
      <c r="M1" s="4"/>
      <c r="N1" s="21">
        <v>100</v>
      </c>
      <c r="O1" s="21">
        <v>200</v>
      </c>
      <c r="P1" s="161" t="s">
        <v>44</v>
      </c>
      <c r="Q1" s="21" t="s">
        <v>35</v>
      </c>
      <c r="R1" s="21" t="s">
        <v>36</v>
      </c>
      <c r="S1" s="4"/>
      <c r="T1" s="4"/>
      <c r="U1" s="4"/>
      <c r="W1" s="4"/>
      <c r="X1" s="4"/>
      <c r="Y1" s="4"/>
      <c r="Z1" s="4"/>
      <c r="AA1" s="4"/>
    </row>
    <row r="2" spans="1:29" ht="15" customHeight="1" x14ac:dyDescent="0.25">
      <c r="A2" s="15">
        <f>'Raw Data &amp; Analysis Setup'!A2</f>
        <v>1</v>
      </c>
      <c r="B2" s="64">
        <f>IF(AND(ISNUMBER('Raw Data &amp; Analysis Setup'!B2),'Raw Data &amp; Analysis Setup'!B2&gt;0),'Raw Data &amp; Analysis Setup'!B2,"")</f>
        <v>23.327999114990234</v>
      </c>
      <c r="C2" s="65" t="s">
        <v>15</v>
      </c>
      <c r="D2" s="20">
        <v>91</v>
      </c>
      <c r="E2" s="20" t="s">
        <v>32</v>
      </c>
      <c r="F2" s="159">
        <v>100</v>
      </c>
      <c r="G2" s="159" t="s">
        <v>47</v>
      </c>
      <c r="H2" s="157">
        <f>IF(SUM(B2:B4)&gt;0,AVERAGE(B2:B4),"")</f>
        <v>23.350999196370442</v>
      </c>
      <c r="I2" s="158">
        <f>IF(SUM(B2:B4)&gt;0,STDEV(B2:B4),0)</f>
        <v>3.9837309528739741E-2</v>
      </c>
      <c r="J2" s="157">
        <f>IF(H2&lt;&gt;"",IF(VLOOKUP(D2,$A$2:$H$97,8,FALSE)&gt;0,VLOOKUP(D2,$A$2:$H$97,8,FALSE),""),"")</f>
        <v>18.603333155314129</v>
      </c>
      <c r="K2" s="157">
        <f>IF(ISNUMBER(H2),H2-J2,"")</f>
        <v>4.7476660410563127</v>
      </c>
      <c r="M2" s="21" t="s">
        <v>46</v>
      </c>
      <c r="N2" s="21" t="s">
        <v>85</v>
      </c>
      <c r="O2" s="21" t="s">
        <v>84</v>
      </c>
      <c r="P2" s="162"/>
      <c r="Q2" s="21" t="s">
        <v>81</v>
      </c>
      <c r="R2" s="21" t="s">
        <v>164</v>
      </c>
      <c r="S2" s="83" t="s">
        <v>14</v>
      </c>
      <c r="T2" s="83" t="s">
        <v>116</v>
      </c>
      <c r="U2" s="83" t="s">
        <v>117</v>
      </c>
      <c r="W2" s="21" t="s">
        <v>46</v>
      </c>
      <c r="X2" s="21">
        <v>100</v>
      </c>
      <c r="Y2" s="21">
        <v>200</v>
      </c>
      <c r="Z2" s="21" t="s">
        <v>45</v>
      </c>
      <c r="AA2" s="21" t="s">
        <v>37</v>
      </c>
      <c r="AC2" s="2"/>
    </row>
    <row r="3" spans="1:29" ht="15" customHeight="1" x14ac:dyDescent="0.25">
      <c r="A3" s="15">
        <f>'Raw Data &amp; Analysis Setup'!A3</f>
        <v>2</v>
      </c>
      <c r="B3" s="64">
        <f>IF(AND(ISNUMBER('Raw Data &amp; Analysis Setup'!B3),'Raw Data &amp; Analysis Setup'!B3&gt;0),'Raw Data &amp; Analysis Setup'!B3,"")</f>
        <v>23.396999359130859</v>
      </c>
      <c r="C3" s="20" t="s">
        <v>15</v>
      </c>
      <c r="D3" s="20">
        <v>92</v>
      </c>
      <c r="E3" s="20" t="s">
        <v>32</v>
      </c>
      <c r="F3" s="159"/>
      <c r="G3" s="159"/>
      <c r="H3" s="157"/>
      <c r="I3" s="158"/>
      <c r="J3" s="157"/>
      <c r="K3" s="157"/>
      <c r="M3" s="16" t="s">
        <v>15</v>
      </c>
      <c r="N3" s="23">
        <f t="shared" ref="N3:N18" si="0">VLOOKUP(M3&amp;"_100",$G$2:$K$97, 5,FALSE)</f>
        <v>4.7476660410563127</v>
      </c>
      <c r="O3" s="23">
        <f t="shared" ref="O3:O18" si="1">VLOOKUP(M3&amp;"_200",$G$2:$K$97, 5,FALSE)</f>
        <v>10.778666814168297</v>
      </c>
      <c r="P3" s="23">
        <f t="shared" ref="P3:P18" si="2">IF(ISNUMBER(N3),IF(ISNUMBER(O3),SLOPE(N3:O3,$N$1:$O$1),""),"")</f>
        <v>6.0310007731119844E-2</v>
      </c>
      <c r="Q3" s="23">
        <f>IF(ISNUMBER(O3), IF(ISNUMBER(P3), O3-50*P3,""),"")</f>
        <v>7.7631664276123047</v>
      </c>
      <c r="R3" s="13">
        <f>IF(ISNUMBER(Q3),1/2^Q3*5,"")</f>
        <v>2.3015692592298999E-2</v>
      </c>
      <c r="S3" s="25">
        <f>IF(ISNUMBER(Q3), IF(P3&lt;0.001,0,IF(OR(R3&lt;0.01, Q3&gt;9)," ", 6)), " ")</f>
        <v>6</v>
      </c>
      <c r="T3" s="84">
        <f>IF(ISNUMBER('Raw Data &amp; Analysis Setup'!J2), IF(Calculation!P3&lt;0.04, 40/'Raw Data &amp; Analysis Setup'!J2, IF(Calculation!Q3&lt;=9, 120/'Raw Data &amp; Analysis Setup'!J2, "")), "")</f>
        <v>3.3333333333333335</v>
      </c>
      <c r="U3" s="84">
        <f>IF(ISNUMBER('Raw Data &amp; Analysis Setup'!J2), IF(Calculation!P3&lt;0.04, 100/'Raw Data &amp; Analysis Setup'!J2, IF(Calculation!Q3&lt;=9, 250/'Raw Data &amp; Analysis Setup'!J2, "")), "")</f>
        <v>6.9444444444444446</v>
      </c>
      <c r="W3" s="24" t="str">
        <f t="shared" ref="W3:W18" si="3">M3</f>
        <v>S1</v>
      </c>
      <c r="X3" s="26">
        <f t="shared" ref="X3:X18" si="4">VLOOKUP(W3&amp;"_100",$G$2:$K$97, 2,FALSE)</f>
        <v>23.350999196370442</v>
      </c>
      <c r="Y3" s="26">
        <f t="shared" ref="Y3:Y18" si="5">VLOOKUP(W3&amp;"_200",$G$2:$K$97, 2,FALSE)</f>
        <v>29.974667231241863</v>
      </c>
      <c r="Z3" s="23">
        <f>IF(ISNUMBER(Y3-X3),Y3-X3,"")</f>
        <v>6.6236680348714216</v>
      </c>
      <c r="AA3" s="25" t="str">
        <f>IF(ISNUMBER(Z3),IF(Z3&lt;-1,"Fail","Pass"),"")</f>
        <v>Pass</v>
      </c>
    </row>
    <row r="4" spans="1:29" ht="15" customHeight="1" x14ac:dyDescent="0.25">
      <c r="A4" s="15">
        <f>'Raw Data &amp; Analysis Setup'!A4</f>
        <v>3</v>
      </c>
      <c r="B4" s="64">
        <f>IF(AND(ISNUMBER('Raw Data &amp; Analysis Setup'!B4),'Raw Data &amp; Analysis Setup'!B4&gt;0),'Raw Data &amp; Analysis Setup'!B4,"")</f>
        <v>23.327999114990234</v>
      </c>
      <c r="C4" s="20" t="s">
        <v>15</v>
      </c>
      <c r="D4" s="20">
        <v>93</v>
      </c>
      <c r="E4" s="20" t="s">
        <v>32</v>
      </c>
      <c r="F4" s="159"/>
      <c r="G4" s="159"/>
      <c r="H4" s="157"/>
      <c r="I4" s="158"/>
      <c r="J4" s="157"/>
      <c r="K4" s="157"/>
      <c r="M4" s="16" t="s">
        <v>16</v>
      </c>
      <c r="N4" s="23">
        <f t="shared" si="0"/>
        <v>0.71600023905435961</v>
      </c>
      <c r="O4" s="23">
        <f t="shared" si="1"/>
        <v>3.0493329366048201</v>
      </c>
      <c r="P4" s="23">
        <f t="shared" si="2"/>
        <v>2.3333326975504606E-2</v>
      </c>
      <c r="Q4" s="23">
        <f>IF(ISNUMBER(O4), IF(ISNUMBER(P4), O4-50*P4,""),"")</f>
        <v>1.8826665878295898</v>
      </c>
      <c r="R4" s="13">
        <f t="shared" ref="R4:R17" si="6">IF(ISNUMBER(Q4),1/2^Q4*5,"")</f>
        <v>1.3559100806922637</v>
      </c>
      <c r="S4" s="25">
        <f t="shared" ref="S4:S18" si="7">IF(ISNUMBER(Q4), IF(P4&lt;0.001,0,IF(OR(R4&lt;0.01, Q4&gt;9)," ", 6)), " ")</f>
        <v>6</v>
      </c>
      <c r="T4" s="84">
        <f>IF(ISNUMBER('Raw Data &amp; Analysis Setup'!J3), IF(Calculation!P4&lt;0.04, 40/'Raw Data &amp; Analysis Setup'!J3, IF(Calculation!Q4&lt;=9, 120/'Raw Data &amp; Analysis Setup'!J3, "")), "")</f>
        <v>1.7391304347826086</v>
      </c>
      <c r="U4" s="84">
        <f>IF(ISNUMBER('Raw Data &amp; Analysis Setup'!J3), IF(Calculation!P4&lt;0.04, 100/'Raw Data &amp; Analysis Setup'!J3, IF(Calculation!Q4&lt;=9, 250/'Raw Data &amp; Analysis Setup'!J3, "")), "")</f>
        <v>4.3478260869565215</v>
      </c>
      <c r="W4" s="24" t="str">
        <f t="shared" si="3"/>
        <v>S2</v>
      </c>
      <c r="X4" s="26">
        <f t="shared" si="4"/>
        <v>19.319333394368488</v>
      </c>
      <c r="Y4" s="26">
        <f t="shared" si="5"/>
        <v>22.245333353678387</v>
      </c>
      <c r="Z4" s="23">
        <f t="shared" ref="Z4:Z18" si="8">IF(ISNUMBER(Y4-X4),Y4-X4,"")</f>
        <v>2.9259999593098982</v>
      </c>
      <c r="AA4" s="25" t="str">
        <f t="shared" ref="AA4:AA17" si="9">IF(ISNUMBER(Z4),IF(Z4&lt;-1,"Fail","Pass"),"")</f>
        <v>Pass</v>
      </c>
    </row>
    <row r="5" spans="1:29" ht="15" customHeight="1" x14ac:dyDescent="0.25">
      <c r="A5" s="19">
        <f>'Raw Data &amp; Analysis Setup'!A5</f>
        <v>4</v>
      </c>
      <c r="B5" s="64">
        <f>IF(AND(ISNUMBER('Raw Data &amp; Analysis Setup'!B5),'Raw Data &amp; Analysis Setup'!B5&gt;0),'Raw Data &amp; Analysis Setup'!B5,"")</f>
        <v>30.211999893188477</v>
      </c>
      <c r="C5" s="65" t="s">
        <v>15</v>
      </c>
      <c r="D5" s="20">
        <v>94</v>
      </c>
      <c r="E5" s="20" t="s">
        <v>33</v>
      </c>
      <c r="F5" s="159">
        <v>200</v>
      </c>
      <c r="G5" s="160" t="s">
        <v>49</v>
      </c>
      <c r="H5" s="157">
        <f>IF(SUM(B5:B7)&gt;0,AVERAGE(B5:B7),"")</f>
        <v>29.974667231241863</v>
      </c>
      <c r="I5" s="158">
        <f>IF(SUM(B5:B7)&gt;0,STDEV(B5:B7),0)</f>
        <v>0.20565527927275382</v>
      </c>
      <c r="J5" s="157">
        <f>IF(H5&lt;&gt;"",IF(VLOOKUP(D5,$A$2:$H$97,8,FALSE)&gt;0,VLOOKUP(D5,$A$2:$H$97,8,FALSE),""),"")</f>
        <v>19.196000417073567</v>
      </c>
      <c r="K5" s="157">
        <f>IF(ISNUMBER(H5),H5-J5,"")</f>
        <v>10.778666814168297</v>
      </c>
      <c r="M5" s="16" t="s">
        <v>17</v>
      </c>
      <c r="N5" s="23">
        <f t="shared" si="0"/>
        <v>-0.41399955749511719</v>
      </c>
      <c r="O5" s="23">
        <f t="shared" si="1"/>
        <v>1.3889999389648437</v>
      </c>
      <c r="P5" s="23">
        <f t="shared" si="2"/>
        <v>1.8029994964599609E-2</v>
      </c>
      <c r="Q5" s="23">
        <f t="shared" ref="Q5:Q18" si="10">IF(ISNUMBER(O5), IF(ISNUMBER(P5), O5-50*P5,""),"")</f>
        <v>0.48750019073486328</v>
      </c>
      <c r="R5" s="13">
        <f t="shared" si="6"/>
        <v>3.5662995931815828</v>
      </c>
      <c r="S5" s="25">
        <f t="shared" si="7"/>
        <v>6</v>
      </c>
      <c r="T5" s="84">
        <f>IF(ISNUMBER('Raw Data &amp; Analysis Setup'!J4), IF(Calculation!P5&lt;0.04, 40/'Raw Data &amp; Analysis Setup'!J4, IF(Calculation!Q5&lt;=9, 120/'Raw Data &amp; Analysis Setup'!J4, "")), "")</f>
        <v>1.4814814814814814</v>
      </c>
      <c r="U5" s="84">
        <f>IF(ISNUMBER('Raw Data &amp; Analysis Setup'!J4), IF(Calculation!P5&lt;0.04, 100/'Raw Data &amp; Analysis Setup'!J4, IF(Calculation!Q5&lt;=9, 250/'Raw Data &amp; Analysis Setup'!J4, "")), "")</f>
        <v>3.7037037037037037</v>
      </c>
      <c r="W5" s="24" t="str">
        <f t="shared" si="3"/>
        <v>S3</v>
      </c>
      <c r="X5" s="26">
        <f t="shared" si="4"/>
        <v>18.189333597819012</v>
      </c>
      <c r="Y5" s="26">
        <f t="shared" si="5"/>
        <v>20.58500035603841</v>
      </c>
      <c r="Z5" s="23">
        <f t="shared" si="8"/>
        <v>2.3956667582193987</v>
      </c>
      <c r="AA5" s="25" t="str">
        <f t="shared" si="9"/>
        <v>Pass</v>
      </c>
    </row>
    <row r="6" spans="1:29" ht="15" customHeight="1" x14ac:dyDescent="0.25">
      <c r="A6" s="15">
        <f>'Raw Data &amp; Analysis Setup'!A6</f>
        <v>5</v>
      </c>
      <c r="B6" s="64">
        <f>IF(AND(ISNUMBER('Raw Data &amp; Analysis Setup'!B6),'Raw Data &amp; Analysis Setup'!B6&gt;0),'Raw Data &amp; Analysis Setup'!B6,"")</f>
        <v>29.863000869750977</v>
      </c>
      <c r="C6" s="20" t="s">
        <v>15</v>
      </c>
      <c r="D6" s="20">
        <v>95</v>
      </c>
      <c r="E6" s="20" t="s">
        <v>33</v>
      </c>
      <c r="F6" s="159"/>
      <c r="G6" s="159"/>
      <c r="H6" s="157"/>
      <c r="I6" s="158"/>
      <c r="J6" s="157"/>
      <c r="K6" s="157"/>
      <c r="M6" s="16" t="s">
        <v>18</v>
      </c>
      <c r="N6" s="23">
        <f t="shared" si="0"/>
        <v>7.2453339894612618</v>
      </c>
      <c r="O6" s="23">
        <f t="shared" si="1"/>
        <v>12.289499918619793</v>
      </c>
      <c r="P6" s="23">
        <f t="shared" si="2"/>
        <v>5.0441659291585311E-2</v>
      </c>
      <c r="Q6" s="23">
        <f t="shared" si="10"/>
        <v>9.7674169540405273</v>
      </c>
      <c r="R6" s="13">
        <f t="shared" si="6"/>
        <v>5.7369956556578422E-3</v>
      </c>
      <c r="S6" s="25" t="str">
        <f t="shared" si="7"/>
        <v xml:space="preserve"> </v>
      </c>
      <c r="T6" s="84" t="str">
        <f>IF(ISNUMBER('Raw Data &amp; Analysis Setup'!J5), IF(Calculation!P6&lt;0.04, 40/'Raw Data &amp; Analysis Setup'!J5, IF(Calculation!Q6&lt;=9, 120/'Raw Data &amp; Analysis Setup'!J5, "")), "")</f>
        <v/>
      </c>
      <c r="U6" s="84" t="str">
        <f>IF(ISNUMBER('Raw Data &amp; Analysis Setup'!J5), IF(Calculation!P6&lt;0.04, 100/'Raw Data &amp; Analysis Setup'!J5, IF(Calculation!Q6&lt;=9, 250/'Raw Data &amp; Analysis Setup'!J5, "")), "")</f>
        <v/>
      </c>
      <c r="W6" s="24" t="str">
        <f t="shared" si="3"/>
        <v>S4</v>
      </c>
      <c r="X6" s="26">
        <f t="shared" si="4"/>
        <v>25.848667144775391</v>
      </c>
      <c r="Y6" s="26">
        <f t="shared" si="5"/>
        <v>31.485500335693359</v>
      </c>
      <c r="Z6" s="23">
        <f t="shared" si="8"/>
        <v>5.6368331909179687</v>
      </c>
      <c r="AA6" s="25" t="str">
        <f t="shared" si="9"/>
        <v>Pass</v>
      </c>
    </row>
    <row r="7" spans="1:29" ht="15" customHeight="1" x14ac:dyDescent="0.25">
      <c r="A7" s="15">
        <f>'Raw Data &amp; Analysis Setup'!A7</f>
        <v>6</v>
      </c>
      <c r="B7" s="64">
        <f>IF(AND(ISNUMBER('Raw Data &amp; Analysis Setup'!B7),'Raw Data &amp; Analysis Setup'!B7&gt;0),'Raw Data &amp; Analysis Setup'!B7,"")</f>
        <v>29.849000930786133</v>
      </c>
      <c r="C7" s="20" t="s">
        <v>15</v>
      </c>
      <c r="D7" s="20">
        <v>96</v>
      </c>
      <c r="E7" s="20" t="s">
        <v>33</v>
      </c>
      <c r="F7" s="159"/>
      <c r="G7" s="159"/>
      <c r="H7" s="157"/>
      <c r="I7" s="158"/>
      <c r="J7" s="157"/>
      <c r="K7" s="157"/>
      <c r="M7" s="16" t="s">
        <v>19</v>
      </c>
      <c r="N7" s="23">
        <f t="shared" si="0"/>
        <v>6.2803338368733712</v>
      </c>
      <c r="O7" s="23">
        <f t="shared" si="1"/>
        <v>10.55366643269857</v>
      </c>
      <c r="P7" s="23">
        <f t="shared" si="2"/>
        <v>4.2733325958251987E-2</v>
      </c>
      <c r="Q7" s="23">
        <f t="shared" si="10"/>
        <v>8.4170001347859706</v>
      </c>
      <c r="R7" s="13">
        <f t="shared" si="6"/>
        <v>1.4628523383544131E-2</v>
      </c>
      <c r="S7" s="25">
        <f t="shared" si="7"/>
        <v>6</v>
      </c>
      <c r="T7" s="84">
        <f>IF(ISNUMBER('Raw Data &amp; Analysis Setup'!J6), IF(Calculation!P7&lt;0.04, 40/'Raw Data &amp; Analysis Setup'!J6, IF(Calculation!Q7&lt;=9, 120/'Raw Data &amp; Analysis Setup'!J6, "")), "")</f>
        <v>13.333333333333334</v>
      </c>
      <c r="U7" s="84">
        <f>IF(ISNUMBER('Raw Data &amp; Analysis Setup'!J6), IF(Calculation!P7&lt;0.04, 100/'Raw Data &amp; Analysis Setup'!J6, IF(Calculation!Q7&lt;=9, 250/'Raw Data &amp; Analysis Setup'!J6, "")), "")</f>
        <v>27.777777777777779</v>
      </c>
      <c r="W7" s="24" t="str">
        <f t="shared" si="3"/>
        <v>S5</v>
      </c>
      <c r="X7" s="26">
        <f t="shared" si="4"/>
        <v>24.8836669921875</v>
      </c>
      <c r="Y7" s="26">
        <f t="shared" si="5"/>
        <v>29.749666849772137</v>
      </c>
      <c r="Z7" s="23">
        <f t="shared" si="8"/>
        <v>4.8659998575846366</v>
      </c>
      <c r="AA7" s="25" t="str">
        <f t="shared" si="9"/>
        <v>Pass</v>
      </c>
    </row>
    <row r="8" spans="1:29" ht="15" customHeight="1" x14ac:dyDescent="0.25">
      <c r="A8" s="15">
        <f>'Raw Data &amp; Analysis Setup'!A8</f>
        <v>7</v>
      </c>
      <c r="B8" s="64">
        <f>IF(AND(ISNUMBER('Raw Data &amp; Analysis Setup'!B8),'Raw Data &amp; Analysis Setup'!B8&gt;0),'Raw Data &amp; Analysis Setup'!B8,"")</f>
        <v>19.319000244140625</v>
      </c>
      <c r="C8" s="65" t="s">
        <v>16</v>
      </c>
      <c r="D8" s="20">
        <v>91</v>
      </c>
      <c r="E8" s="20" t="s">
        <v>32</v>
      </c>
      <c r="F8" s="159">
        <v>100</v>
      </c>
      <c r="G8" s="160" t="s">
        <v>51</v>
      </c>
      <c r="H8" s="157">
        <f>IF(SUM(B8:B10)&gt;0,AVERAGE(B8:B10),"")</f>
        <v>19.319333394368488</v>
      </c>
      <c r="I8" s="158">
        <f>IF(SUM(B8:B10)&gt;0,STDEV(B8:B10),0)</f>
        <v>1.2504091965198808E-2</v>
      </c>
      <c r="J8" s="157">
        <f>IF(H8&lt;&gt;"",IF(VLOOKUP(D8,$A$2:$H$97,8,FALSE)&gt;0,VLOOKUP(D8,$A$2:$H$97,8,FALSE),""),"")</f>
        <v>18.603333155314129</v>
      </c>
      <c r="K8" s="157">
        <f>IF(ISNUMBER(H8),H8-J8,"")</f>
        <v>0.71600023905435961</v>
      </c>
      <c r="M8" s="16" t="s">
        <v>20</v>
      </c>
      <c r="N8" s="23">
        <f t="shared" si="0"/>
        <v>-0.55399958292643348</v>
      </c>
      <c r="O8" s="23">
        <f t="shared" si="1"/>
        <v>1.1846663157145194</v>
      </c>
      <c r="P8" s="23">
        <f t="shared" si="2"/>
        <v>1.738665898640953E-2</v>
      </c>
      <c r="Q8" s="23">
        <f t="shared" si="10"/>
        <v>0.31533336639404297</v>
      </c>
      <c r="R8" s="13">
        <f t="shared" si="6"/>
        <v>4.0183263238253586</v>
      </c>
      <c r="S8" s="25">
        <f t="shared" si="7"/>
        <v>6</v>
      </c>
      <c r="T8" s="84">
        <f>IF(ISNUMBER('Raw Data &amp; Analysis Setup'!J7), IF(Calculation!P8&lt;0.04, 40/'Raw Data &amp; Analysis Setup'!J7, IF(Calculation!Q8&lt;=9, 120/'Raw Data &amp; Analysis Setup'!J7, "")), "")</f>
        <v>1.2903225806451613</v>
      </c>
      <c r="U8" s="84">
        <f>IF(ISNUMBER('Raw Data &amp; Analysis Setup'!J7), IF(Calculation!P8&lt;0.04, 100/'Raw Data &amp; Analysis Setup'!J7, IF(Calculation!Q8&lt;=9, 250/'Raw Data &amp; Analysis Setup'!J7, "")), "")</f>
        <v>3.225806451612903</v>
      </c>
      <c r="W8" s="24" t="str">
        <f t="shared" si="3"/>
        <v>S6</v>
      </c>
      <c r="X8" s="26">
        <f t="shared" si="4"/>
        <v>18.049333572387695</v>
      </c>
      <c r="Y8" s="26">
        <f t="shared" si="5"/>
        <v>20.380666732788086</v>
      </c>
      <c r="Z8" s="23">
        <f t="shared" si="8"/>
        <v>2.3313331604003906</v>
      </c>
      <c r="AA8" s="25" t="str">
        <f t="shared" si="9"/>
        <v>Pass</v>
      </c>
    </row>
    <row r="9" spans="1:29" ht="15" customHeight="1" x14ac:dyDescent="0.25">
      <c r="A9" s="15">
        <f>'Raw Data &amp; Analysis Setup'!A9</f>
        <v>8</v>
      </c>
      <c r="B9" s="64">
        <f>IF(AND(ISNUMBER('Raw Data &amp; Analysis Setup'!B9),'Raw Data &amp; Analysis Setup'!B9&gt;0),'Raw Data &amp; Analysis Setup'!B9,"")</f>
        <v>19.332000732421875</v>
      </c>
      <c r="C9" s="65" t="s">
        <v>16</v>
      </c>
      <c r="D9" s="20">
        <v>92</v>
      </c>
      <c r="E9" s="20" t="s">
        <v>32</v>
      </c>
      <c r="F9" s="159"/>
      <c r="G9" s="159"/>
      <c r="H9" s="157"/>
      <c r="I9" s="158"/>
      <c r="J9" s="157"/>
      <c r="K9" s="157"/>
      <c r="M9" s="16" t="s">
        <v>21</v>
      </c>
      <c r="N9" s="23">
        <f t="shared" si="0"/>
        <v>-0.82500012715657789</v>
      </c>
      <c r="O9" s="23">
        <f t="shared" si="1"/>
        <v>0.35933303833007813</v>
      </c>
      <c r="P9" s="23">
        <f t="shared" si="2"/>
        <v>1.1843331654866561E-2</v>
      </c>
      <c r="Q9" s="23">
        <f t="shared" si="10"/>
        <v>-0.23283354441324988</v>
      </c>
      <c r="R9" s="13">
        <f t="shared" si="6"/>
        <v>5.8757036747532467</v>
      </c>
      <c r="S9" s="25">
        <f t="shared" si="7"/>
        <v>6</v>
      </c>
      <c r="T9" s="84">
        <f>IF(ISNUMBER('Raw Data &amp; Analysis Setup'!J8), IF(Calculation!P9&lt;0.04, 40/'Raw Data &amp; Analysis Setup'!J8, IF(Calculation!Q9&lt;=9, 120/'Raw Data &amp; Analysis Setup'!J8, "")), "")</f>
        <v>1.8181818181818181</v>
      </c>
      <c r="U9" s="84">
        <f>IF(ISNUMBER('Raw Data &amp; Analysis Setup'!J8), IF(Calculation!P9&lt;0.04, 100/'Raw Data &amp; Analysis Setup'!J8, IF(Calculation!Q9&lt;=9, 250/'Raw Data &amp; Analysis Setup'!J8, "")), "")</f>
        <v>4.5454545454545459</v>
      </c>
      <c r="W9" s="24" t="str">
        <f t="shared" si="3"/>
        <v>S7</v>
      </c>
      <c r="X9" s="26">
        <f t="shared" si="4"/>
        <v>17.778333028157551</v>
      </c>
      <c r="Y9" s="26">
        <f t="shared" si="5"/>
        <v>19.555333455403645</v>
      </c>
      <c r="Z9" s="23">
        <f t="shared" si="8"/>
        <v>1.7770004272460938</v>
      </c>
      <c r="AA9" s="25" t="str">
        <f t="shared" si="9"/>
        <v>Pass</v>
      </c>
    </row>
    <row r="10" spans="1:29" ht="15" customHeight="1" x14ac:dyDescent="0.25">
      <c r="A10" s="15">
        <f>'Raw Data &amp; Analysis Setup'!A10</f>
        <v>9</v>
      </c>
      <c r="B10" s="64">
        <f>IF(AND(ISNUMBER('Raw Data &amp; Analysis Setup'!B10),'Raw Data &amp; Analysis Setup'!B10&gt;0),'Raw Data &amp; Analysis Setup'!B10,"")</f>
        <v>19.306999206542969</v>
      </c>
      <c r="C10" s="65" t="s">
        <v>16</v>
      </c>
      <c r="D10" s="20">
        <v>93</v>
      </c>
      <c r="E10" s="20" t="s">
        <v>32</v>
      </c>
      <c r="F10" s="159"/>
      <c r="G10" s="159"/>
      <c r="H10" s="157"/>
      <c r="I10" s="158"/>
      <c r="J10" s="157"/>
      <c r="K10" s="157"/>
      <c r="M10" s="16" t="s">
        <v>22</v>
      </c>
      <c r="N10" s="23">
        <f t="shared" si="0"/>
        <v>-2.254666646321617</v>
      </c>
      <c r="O10" s="23">
        <f t="shared" si="1"/>
        <v>-1.5560003916422502</v>
      </c>
      <c r="P10" s="23">
        <f t="shared" si="2"/>
        <v>6.986662546793667E-3</v>
      </c>
      <c r="Q10" s="23">
        <f t="shared" si="10"/>
        <v>-1.9053335189819336</v>
      </c>
      <c r="R10" s="13">
        <f t="shared" si="6"/>
        <v>18.729774355182776</v>
      </c>
      <c r="S10" s="25">
        <f t="shared" si="7"/>
        <v>6</v>
      </c>
      <c r="T10" s="84">
        <f>IF(ISNUMBER('Raw Data &amp; Analysis Setup'!J9), IF(Calculation!P10&lt;0.04, 40/'Raw Data &amp; Analysis Setup'!J9, IF(Calculation!Q10&lt;=9, 120/'Raw Data &amp; Analysis Setup'!J9, "")), "")</f>
        <v>0.76923076923076927</v>
      </c>
      <c r="U10" s="84">
        <f>IF(ISNUMBER('Raw Data &amp; Analysis Setup'!J9), IF(Calculation!P10&lt;0.04, 100/'Raw Data &amp; Analysis Setup'!J9, IF(Calculation!Q10&lt;=9, 250/'Raw Data &amp; Analysis Setup'!J9, "")), "")</f>
        <v>1.9230769230769231</v>
      </c>
      <c r="W10" s="24" t="str">
        <f t="shared" si="3"/>
        <v>S8</v>
      </c>
      <c r="X10" s="26">
        <f t="shared" si="4"/>
        <v>16.348666508992512</v>
      </c>
      <c r="Y10" s="26">
        <f t="shared" si="5"/>
        <v>17.640000025431316</v>
      </c>
      <c r="Z10" s="23">
        <f t="shared" si="8"/>
        <v>1.2913335164388045</v>
      </c>
      <c r="AA10" s="25" t="str">
        <f t="shared" si="9"/>
        <v>Pass</v>
      </c>
    </row>
    <row r="11" spans="1:29" ht="15" customHeight="1" x14ac:dyDescent="0.25">
      <c r="A11" s="15">
        <f>'Raw Data &amp; Analysis Setup'!A11</f>
        <v>10</v>
      </c>
      <c r="B11" s="64">
        <f>IF(AND(ISNUMBER('Raw Data &amp; Analysis Setup'!B11),'Raw Data &amp; Analysis Setup'!B11&gt;0),'Raw Data &amp; Analysis Setup'!B11,"")</f>
        <v>22.250999450683594</v>
      </c>
      <c r="C11" s="65" t="s">
        <v>16</v>
      </c>
      <c r="D11" s="20">
        <v>94</v>
      </c>
      <c r="E11" s="20" t="s">
        <v>33</v>
      </c>
      <c r="F11" s="159">
        <v>200</v>
      </c>
      <c r="G11" s="160" t="s">
        <v>53</v>
      </c>
      <c r="H11" s="157">
        <f>IF(SUM(B11:B13)&gt;0,AVERAGE(B11:B13),"")</f>
        <v>22.245333353678387</v>
      </c>
      <c r="I11" s="158">
        <f>IF(SUM(B11:B13)&gt;0,STDEV(B11:B13),0)</f>
        <v>5.5073734236591046E-3</v>
      </c>
      <c r="J11" s="157">
        <f>IF(H11&lt;&gt;"",IF(VLOOKUP(D11,$A$2:$H$97,8,FALSE)&gt;0,VLOOKUP(D11,$A$2:$H$97,8,FALSE),""),"")</f>
        <v>19.196000417073567</v>
      </c>
      <c r="K11" s="157">
        <f>IF(ISNUMBER(H11),H11-J11,"")</f>
        <v>3.0493329366048201</v>
      </c>
      <c r="M11" s="16" t="s">
        <v>23</v>
      </c>
      <c r="N11" s="23">
        <f t="shared" si="0"/>
        <v>1.0410003662109375</v>
      </c>
      <c r="O11" s="23">
        <f t="shared" si="1"/>
        <v>3.3729998270670585</v>
      </c>
      <c r="P11" s="23">
        <f t="shared" si="2"/>
        <v>2.3319994608561212E-2</v>
      </c>
      <c r="Q11" s="23">
        <f t="shared" si="10"/>
        <v>2.207000096638998</v>
      </c>
      <c r="R11" s="13">
        <f t="shared" si="6"/>
        <v>1.0829209979605907</v>
      </c>
      <c r="S11" s="25">
        <f t="shared" si="7"/>
        <v>6</v>
      </c>
      <c r="T11" s="84">
        <f>IF(ISNUMBER('Raw Data &amp; Analysis Setup'!J10), IF(Calculation!P11&lt;0.04, 40/'Raw Data &amp; Analysis Setup'!J10, IF(Calculation!Q11&lt;=9, 120/'Raw Data &amp; Analysis Setup'!J10, "")), "")</f>
        <v>2.8571428571428572</v>
      </c>
      <c r="U11" s="84">
        <f>IF(ISNUMBER('Raw Data &amp; Analysis Setup'!J10), IF(Calculation!P11&lt;0.04, 100/'Raw Data &amp; Analysis Setup'!J10, IF(Calculation!Q11&lt;=9, 250/'Raw Data &amp; Analysis Setup'!J10, "")), "")</f>
        <v>7.1428571428571432</v>
      </c>
      <c r="W11" s="24" t="str">
        <f t="shared" si="3"/>
        <v>S9</v>
      </c>
      <c r="X11" s="26">
        <f t="shared" si="4"/>
        <v>19.644333521525066</v>
      </c>
      <c r="Y11" s="26">
        <f t="shared" si="5"/>
        <v>22.569000244140625</v>
      </c>
      <c r="Z11" s="23">
        <f t="shared" si="8"/>
        <v>2.9246667226155587</v>
      </c>
      <c r="AA11" s="25" t="str">
        <f t="shared" si="9"/>
        <v>Pass</v>
      </c>
    </row>
    <row r="12" spans="1:29" ht="15" customHeight="1" x14ac:dyDescent="0.25">
      <c r="A12" s="15">
        <f>'Raw Data &amp; Analysis Setup'!A12</f>
        <v>11</v>
      </c>
      <c r="B12" s="64">
        <f>IF(AND(ISNUMBER('Raw Data &amp; Analysis Setup'!B12),'Raw Data &amp; Analysis Setup'!B12&gt;0),'Raw Data &amp; Analysis Setup'!B12,"")</f>
        <v>22.239999771118164</v>
      </c>
      <c r="C12" s="65" t="s">
        <v>16</v>
      </c>
      <c r="D12" s="20">
        <v>95</v>
      </c>
      <c r="E12" s="20" t="s">
        <v>33</v>
      </c>
      <c r="F12" s="159"/>
      <c r="G12" s="159"/>
      <c r="H12" s="157"/>
      <c r="I12" s="158"/>
      <c r="J12" s="157"/>
      <c r="K12" s="157"/>
      <c r="M12" s="16" t="s">
        <v>24</v>
      </c>
      <c r="N12" s="23">
        <f t="shared" si="0"/>
        <v>2.4286664326985665</v>
      </c>
      <c r="O12" s="23">
        <f t="shared" si="1"/>
        <v>4.8056666056315116</v>
      </c>
      <c r="P12" s="23">
        <f t="shared" si="2"/>
        <v>2.377000172932945E-2</v>
      </c>
      <c r="Q12" s="23">
        <f t="shared" si="10"/>
        <v>3.6171665191650391</v>
      </c>
      <c r="R12" s="13">
        <f t="shared" si="6"/>
        <v>0.40746882106965165</v>
      </c>
      <c r="S12" s="25">
        <f t="shared" si="7"/>
        <v>6</v>
      </c>
      <c r="T12" s="84">
        <f>IF(ISNUMBER('Raw Data &amp; Analysis Setup'!J11), IF(Calculation!P12&lt;0.04, 40/'Raw Data &amp; Analysis Setup'!J11, IF(Calculation!Q12&lt;=9, 120/'Raw Data &amp; Analysis Setup'!J11, "")), "")</f>
        <v>8</v>
      </c>
      <c r="U12" s="84">
        <f>IF(ISNUMBER('Raw Data &amp; Analysis Setup'!J11), IF(Calculation!P12&lt;0.04, 100/'Raw Data &amp; Analysis Setup'!J11, IF(Calculation!Q12&lt;=9, 250/'Raw Data &amp; Analysis Setup'!J11, "")), "")</f>
        <v>20</v>
      </c>
      <c r="W12" s="24" t="str">
        <f t="shared" si="3"/>
        <v>S10</v>
      </c>
      <c r="X12" s="26">
        <f t="shared" si="4"/>
        <v>21.031999588012695</v>
      </c>
      <c r="Y12" s="26">
        <f t="shared" si="5"/>
        <v>24.001667022705078</v>
      </c>
      <c r="Z12" s="23">
        <f t="shared" si="8"/>
        <v>2.9696674346923828</v>
      </c>
      <c r="AA12" s="25" t="str">
        <f t="shared" si="9"/>
        <v>Pass</v>
      </c>
    </row>
    <row r="13" spans="1:29" ht="15" customHeight="1" x14ac:dyDescent="0.25">
      <c r="A13" s="15">
        <f>'Raw Data &amp; Analysis Setup'!A13</f>
        <v>12</v>
      </c>
      <c r="B13" s="64">
        <f>IF(AND(ISNUMBER('Raw Data &amp; Analysis Setup'!B13),'Raw Data &amp; Analysis Setup'!B13&gt;0),'Raw Data &amp; Analysis Setup'!B13,"")</f>
        <v>22.245000839233398</v>
      </c>
      <c r="C13" s="65" t="s">
        <v>16</v>
      </c>
      <c r="D13" s="20">
        <v>96</v>
      </c>
      <c r="E13" s="20" t="s">
        <v>33</v>
      </c>
      <c r="F13" s="159"/>
      <c r="G13" s="159"/>
      <c r="H13" s="157"/>
      <c r="I13" s="158"/>
      <c r="J13" s="157"/>
      <c r="K13" s="157"/>
      <c r="M13" s="16" t="s">
        <v>25</v>
      </c>
      <c r="N13" s="23">
        <f t="shared" si="0"/>
        <v>2.6726665496826172</v>
      </c>
      <c r="O13" s="23">
        <f t="shared" si="1"/>
        <v>6.0276660919189453</v>
      </c>
      <c r="P13" s="23">
        <f t="shared" si="2"/>
        <v>3.3549995422363282E-2</v>
      </c>
      <c r="Q13" s="23">
        <f t="shared" si="10"/>
        <v>4.3501663208007812</v>
      </c>
      <c r="R13" s="13">
        <f t="shared" si="6"/>
        <v>0.24515426640441779</v>
      </c>
      <c r="S13" s="25">
        <f t="shared" si="7"/>
        <v>6</v>
      </c>
      <c r="T13" s="84">
        <f>IF(ISNUMBER('Raw Data &amp; Analysis Setup'!J12), IF(Calculation!P13&lt;0.04, 40/'Raw Data &amp; Analysis Setup'!J12, IF(Calculation!Q13&lt;=9, 120/'Raw Data &amp; Analysis Setup'!J12, "")), "")</f>
        <v>3.6363636363636362</v>
      </c>
      <c r="U13" s="84">
        <f>IF(ISNUMBER('Raw Data &amp; Analysis Setup'!J12), IF(Calculation!P13&lt;0.04, 100/'Raw Data &amp; Analysis Setup'!J12, IF(Calculation!Q13&lt;=9, 250/'Raw Data &amp; Analysis Setup'!J12, "")), "")</f>
        <v>9.0909090909090917</v>
      </c>
      <c r="W13" s="24" t="str">
        <f t="shared" si="3"/>
        <v>S11</v>
      </c>
      <c r="X13" s="26">
        <f t="shared" si="4"/>
        <v>21.275999704996746</v>
      </c>
      <c r="Y13" s="26">
        <f t="shared" si="5"/>
        <v>25.223666508992512</v>
      </c>
      <c r="Z13" s="23">
        <f t="shared" si="8"/>
        <v>3.9476668039957659</v>
      </c>
      <c r="AA13" s="25" t="str">
        <f t="shared" si="9"/>
        <v>Pass</v>
      </c>
    </row>
    <row r="14" spans="1:29" ht="15" customHeight="1" x14ac:dyDescent="0.25">
      <c r="A14" s="15">
        <f>'Raw Data &amp; Analysis Setup'!A14</f>
        <v>13</v>
      </c>
      <c r="B14" s="64">
        <f>IF(AND(ISNUMBER('Raw Data &amp; Analysis Setup'!B14),'Raw Data &amp; Analysis Setup'!B14&gt;0),'Raw Data &amp; Analysis Setup'!B14,"")</f>
        <v>18.197999954223633</v>
      </c>
      <c r="C14" s="65" t="s">
        <v>17</v>
      </c>
      <c r="D14" s="20">
        <v>91</v>
      </c>
      <c r="E14" s="20" t="s">
        <v>32</v>
      </c>
      <c r="F14" s="159">
        <v>100</v>
      </c>
      <c r="G14" s="160" t="s">
        <v>55</v>
      </c>
      <c r="H14" s="157">
        <f>IF(SUM(B14:B16)&gt;0,AVERAGE(B14:B16),"")</f>
        <v>18.189333597819012</v>
      </c>
      <c r="I14" s="158">
        <f>IF(SUM(B14:B16)&gt;0,STDEV(B14:B16),0)</f>
        <v>2.9955728546628691E-2</v>
      </c>
      <c r="J14" s="157">
        <f>IF(H14&lt;&gt;"",IF(VLOOKUP(D14,$A$2:$H$97,8,FALSE)&gt;0,VLOOKUP(D14,$A$2:$H$97,8,FALSE),""),"")</f>
        <v>18.603333155314129</v>
      </c>
      <c r="K14" s="157">
        <f>IF(ISNUMBER(H14),H14-J14,"")</f>
        <v>-0.41399955749511719</v>
      </c>
      <c r="M14" s="16" t="s">
        <v>26</v>
      </c>
      <c r="N14" s="23">
        <f t="shared" si="0"/>
        <v>-1.063666661580406</v>
      </c>
      <c r="O14" s="23">
        <f t="shared" si="1"/>
        <v>0.89000002543131629</v>
      </c>
      <c r="P14" s="23">
        <f t="shared" si="2"/>
        <v>1.9536666870117222E-2</v>
      </c>
      <c r="Q14" s="23">
        <f t="shared" si="10"/>
        <v>-8.6833318074544863E-2</v>
      </c>
      <c r="R14" s="13">
        <f t="shared" si="6"/>
        <v>5.3101823845460956</v>
      </c>
      <c r="S14" s="25">
        <f t="shared" si="7"/>
        <v>6</v>
      </c>
      <c r="T14" s="84">
        <f>IF(ISNUMBER('Raw Data &amp; Analysis Setup'!J13), IF(Calculation!P14&lt;0.04, 40/'Raw Data &amp; Analysis Setup'!J13, IF(Calculation!Q14&lt;=9, 120/'Raw Data &amp; Analysis Setup'!J13, "")), "")</f>
        <v>0.8</v>
      </c>
      <c r="U14" s="84">
        <f>IF(ISNUMBER('Raw Data &amp; Analysis Setup'!J13), IF(Calculation!P14&lt;0.04, 100/'Raw Data &amp; Analysis Setup'!J13, IF(Calculation!Q14&lt;=9, 250/'Raw Data &amp; Analysis Setup'!J13, "")), "")</f>
        <v>2</v>
      </c>
      <c r="W14" s="24" t="str">
        <f t="shared" si="3"/>
        <v>S12</v>
      </c>
      <c r="X14" s="26">
        <f t="shared" si="4"/>
        <v>17.539666493733723</v>
      </c>
      <c r="Y14" s="26">
        <f t="shared" si="5"/>
        <v>20.086000442504883</v>
      </c>
      <c r="Z14" s="23">
        <f t="shared" si="8"/>
        <v>2.54633394877116</v>
      </c>
      <c r="AA14" s="25" t="str">
        <f t="shared" si="9"/>
        <v>Pass</v>
      </c>
    </row>
    <row r="15" spans="1:29" ht="15" customHeight="1" x14ac:dyDescent="0.25">
      <c r="A15" s="15">
        <f>'Raw Data &amp; Analysis Setup'!A15</f>
        <v>14</v>
      </c>
      <c r="B15" s="64">
        <f>IF(AND(ISNUMBER('Raw Data &amp; Analysis Setup'!B15),'Raw Data &amp; Analysis Setup'!B15&gt;0),'Raw Data &amp; Analysis Setup'!B15,"")</f>
        <v>18.156000137329102</v>
      </c>
      <c r="C15" s="65" t="s">
        <v>17</v>
      </c>
      <c r="D15" s="20">
        <v>92</v>
      </c>
      <c r="E15" s="20" t="s">
        <v>32</v>
      </c>
      <c r="F15" s="159"/>
      <c r="G15" s="159"/>
      <c r="H15" s="157"/>
      <c r="I15" s="158"/>
      <c r="J15" s="157"/>
      <c r="K15" s="157"/>
      <c r="M15" s="16" t="s">
        <v>27</v>
      </c>
      <c r="N15" s="23">
        <f t="shared" si="0"/>
        <v>0.25400034586588305</v>
      </c>
      <c r="O15" s="23">
        <f t="shared" si="1"/>
        <v>2.1573327382405623</v>
      </c>
      <c r="P15" s="23">
        <f t="shared" si="2"/>
        <v>1.9033323923746792E-2</v>
      </c>
      <c r="Q15" s="23">
        <f t="shared" si="10"/>
        <v>1.2056665420532227</v>
      </c>
      <c r="R15" s="13">
        <f t="shared" si="6"/>
        <v>2.1678449166633711</v>
      </c>
      <c r="S15" s="25">
        <f t="shared" si="7"/>
        <v>6</v>
      </c>
      <c r="T15" s="84">
        <f>IF(ISNUMBER('Raw Data &amp; Analysis Setup'!J14), IF(Calculation!P15&lt;0.04, 40/'Raw Data &amp; Analysis Setup'!J14, IF(Calculation!Q15&lt;=9, 120/'Raw Data &amp; Analysis Setup'!J14, "")), "")</f>
        <v>2.8571428571428572</v>
      </c>
      <c r="U15" s="84">
        <f>IF(ISNUMBER('Raw Data &amp; Analysis Setup'!J14), IF(Calculation!P15&lt;0.04, 100/'Raw Data &amp; Analysis Setup'!J14, IF(Calculation!Q15&lt;=9, 250/'Raw Data &amp; Analysis Setup'!J14, "")), "")</f>
        <v>7.1428571428571432</v>
      </c>
      <c r="W15" s="24" t="str">
        <f t="shared" si="3"/>
        <v>S13</v>
      </c>
      <c r="X15" s="26">
        <f t="shared" si="4"/>
        <v>18.857333501180012</v>
      </c>
      <c r="Y15" s="26">
        <f t="shared" si="5"/>
        <v>21.353333155314129</v>
      </c>
      <c r="Z15" s="23">
        <f t="shared" si="8"/>
        <v>2.495999654134117</v>
      </c>
      <c r="AA15" s="25" t="str">
        <f t="shared" si="9"/>
        <v>Pass</v>
      </c>
    </row>
    <row r="16" spans="1:29" ht="15" customHeight="1" x14ac:dyDescent="0.25">
      <c r="A16" s="15">
        <f>'Raw Data &amp; Analysis Setup'!A16</f>
        <v>15</v>
      </c>
      <c r="B16" s="64">
        <f>IF(AND(ISNUMBER('Raw Data &amp; Analysis Setup'!B16),'Raw Data &amp; Analysis Setup'!B16&gt;0),'Raw Data &amp; Analysis Setup'!B16,"")</f>
        <v>18.214000701904297</v>
      </c>
      <c r="C16" s="65" t="s">
        <v>17</v>
      </c>
      <c r="D16" s="20">
        <v>93</v>
      </c>
      <c r="E16" s="20" t="s">
        <v>32</v>
      </c>
      <c r="F16" s="159"/>
      <c r="G16" s="159"/>
      <c r="H16" s="157"/>
      <c r="I16" s="158"/>
      <c r="J16" s="157"/>
      <c r="K16" s="157"/>
      <c r="M16" s="16" t="s">
        <v>28</v>
      </c>
      <c r="N16" s="23">
        <f t="shared" si="0"/>
        <v>0.24166742960611742</v>
      </c>
      <c r="O16" s="23">
        <f t="shared" si="1"/>
        <v>2.0970001220703125</v>
      </c>
      <c r="P16" s="23">
        <f t="shared" si="2"/>
        <v>1.8553326924641952E-2</v>
      </c>
      <c r="Q16" s="23">
        <f t="shared" si="10"/>
        <v>1.169333775838215</v>
      </c>
      <c r="R16" s="13">
        <f t="shared" si="6"/>
        <v>2.2231330896503407</v>
      </c>
      <c r="S16" s="25">
        <f t="shared" si="7"/>
        <v>6</v>
      </c>
      <c r="T16" s="84">
        <f>IF(ISNUMBER('Raw Data &amp; Analysis Setup'!J15), IF(Calculation!P16&lt;0.04, 40/'Raw Data &amp; Analysis Setup'!J15, IF(Calculation!Q16&lt;=9, 120/'Raw Data &amp; Analysis Setup'!J15, "")), "")</f>
        <v>2</v>
      </c>
      <c r="U16" s="84">
        <f>IF(ISNUMBER('Raw Data &amp; Analysis Setup'!J15), IF(Calculation!P16&lt;0.04, 100/'Raw Data &amp; Analysis Setup'!J15, IF(Calculation!Q16&lt;=9, 250/'Raw Data &amp; Analysis Setup'!J15, "")), "")</f>
        <v>5</v>
      </c>
      <c r="W16" s="24" t="str">
        <f t="shared" si="3"/>
        <v>S14</v>
      </c>
      <c r="X16" s="26">
        <f t="shared" si="4"/>
        <v>18.845000584920246</v>
      </c>
      <c r="Y16" s="26">
        <f t="shared" si="5"/>
        <v>21.293000539143879</v>
      </c>
      <c r="Z16" s="23">
        <f t="shared" si="8"/>
        <v>2.4479999542236328</v>
      </c>
      <c r="AA16" s="25" t="str">
        <f t="shared" si="9"/>
        <v>Pass</v>
      </c>
    </row>
    <row r="17" spans="1:27" ht="15" customHeight="1" x14ac:dyDescent="0.25">
      <c r="A17" s="15">
        <f>'Raw Data &amp; Analysis Setup'!A17</f>
        <v>16</v>
      </c>
      <c r="B17" s="64">
        <f>IF(AND(ISNUMBER('Raw Data &amp; Analysis Setup'!B17),'Raw Data &amp; Analysis Setup'!B17&gt;0),'Raw Data &amp; Analysis Setup'!B17,"")</f>
        <v>20.559000015258789</v>
      </c>
      <c r="C17" s="65" t="s">
        <v>17</v>
      </c>
      <c r="D17" s="20">
        <v>94</v>
      </c>
      <c r="E17" s="20" t="s">
        <v>33</v>
      </c>
      <c r="F17" s="159">
        <v>200</v>
      </c>
      <c r="G17" s="160" t="s">
        <v>57</v>
      </c>
      <c r="H17" s="157">
        <f>IF(SUM(B17:B19)&gt;0,AVERAGE(B17:B19),"")</f>
        <v>20.58500035603841</v>
      </c>
      <c r="I17" s="158">
        <f>IF(SUM(B17:B19)&gt;0,STDEV(B17:B19),0)</f>
        <v>3.2186991332395568E-2</v>
      </c>
      <c r="J17" s="157">
        <f>IF(H17&lt;&gt;"",IF(VLOOKUP(D17,$A$2:$H$97,8,FALSE)&gt;0,VLOOKUP(D17,$A$2:$H$97,8,FALSE),""),"")</f>
        <v>19.196000417073567</v>
      </c>
      <c r="K17" s="157">
        <f>IF(ISNUMBER(H17),H17-J17,"")</f>
        <v>1.3889999389648437</v>
      </c>
      <c r="M17" s="16" t="s">
        <v>29</v>
      </c>
      <c r="N17" s="23">
        <f t="shared" si="0"/>
        <v>-1.9349994659423828</v>
      </c>
      <c r="O17" s="23">
        <f t="shared" si="1"/>
        <v>-2.0533339182535784</v>
      </c>
      <c r="P17" s="23">
        <f t="shared" si="2"/>
        <v>-1.1833445231119555E-3</v>
      </c>
      <c r="Q17" s="23">
        <f t="shared" si="10"/>
        <v>-1.9941666920979806</v>
      </c>
      <c r="R17" s="13">
        <f t="shared" si="6"/>
        <v>19.919296447425211</v>
      </c>
      <c r="S17" s="25">
        <f t="shared" si="7"/>
        <v>0</v>
      </c>
      <c r="T17" s="84">
        <f>IF(ISNUMBER('Raw Data &amp; Analysis Setup'!J16), IF(Calculation!P17&lt;0.04, 40/'Raw Data &amp; Analysis Setup'!J16, IF(Calculation!Q17&lt;=9, 120/'Raw Data &amp; Analysis Setup'!J16, "")), "")</f>
        <v>2</v>
      </c>
      <c r="U17" s="84">
        <f>IF(ISNUMBER('Raw Data &amp; Analysis Setup'!J16), IF(Calculation!P17&lt;0.04, 100/'Raw Data &amp; Analysis Setup'!J16, IF(Calculation!Q17&lt;=9, 250/'Raw Data &amp; Analysis Setup'!J16, "")), "")</f>
        <v>5</v>
      </c>
      <c r="W17" s="24" t="str">
        <f t="shared" si="3"/>
        <v>S15</v>
      </c>
      <c r="X17" s="26">
        <f t="shared" si="4"/>
        <v>16.668333689371746</v>
      </c>
      <c r="Y17" s="26">
        <f t="shared" si="5"/>
        <v>17.142666498819988</v>
      </c>
      <c r="Z17" s="23">
        <f t="shared" si="8"/>
        <v>0.47433280944824219</v>
      </c>
      <c r="AA17" s="25" t="str">
        <f t="shared" si="9"/>
        <v>Pass</v>
      </c>
    </row>
    <row r="18" spans="1:27" ht="15" customHeight="1" x14ac:dyDescent="0.25">
      <c r="A18" s="15">
        <f>'Raw Data &amp; Analysis Setup'!A18</f>
        <v>17</v>
      </c>
      <c r="B18" s="64">
        <f>IF(AND(ISNUMBER('Raw Data &amp; Analysis Setup'!B18),'Raw Data &amp; Analysis Setup'!B18&gt;0),'Raw Data &amp; Analysis Setup'!B18,"")</f>
        <v>20.575000762939453</v>
      </c>
      <c r="C18" s="65" t="s">
        <v>17</v>
      </c>
      <c r="D18" s="20">
        <v>95</v>
      </c>
      <c r="E18" s="20" t="s">
        <v>33</v>
      </c>
      <c r="F18" s="159"/>
      <c r="G18" s="159"/>
      <c r="H18" s="157"/>
      <c r="I18" s="158"/>
      <c r="J18" s="157"/>
      <c r="K18" s="157"/>
      <c r="M18" s="16" t="str">
        <f>'Raw Data &amp; Analysis Setup'!I17</f>
        <v>Control</v>
      </c>
      <c r="N18" s="23">
        <f t="shared" si="0"/>
        <v>0</v>
      </c>
      <c r="O18" s="23">
        <f t="shared" si="1"/>
        <v>0</v>
      </c>
      <c r="P18" s="23">
        <f t="shared" si="2"/>
        <v>0</v>
      </c>
      <c r="Q18" s="23">
        <f t="shared" si="10"/>
        <v>0</v>
      </c>
      <c r="R18" s="13">
        <f>IF(ISNUMBER(Q18),1/2^Q18*5,"")</f>
        <v>5</v>
      </c>
      <c r="S18" s="25">
        <f t="shared" si="7"/>
        <v>0</v>
      </c>
      <c r="T18" s="84" t="str">
        <f>IF(ISNUMBER('Raw Data &amp; Analysis Setup'!J17), IF(Calculation!P18&lt;0.04, 40/'Raw Data &amp; Analysis Setup'!J17, IF(Calculation!Q18&lt;=9, 120/'Raw Data &amp; Analysis Setup'!J17, "")), "")</f>
        <v/>
      </c>
      <c r="U18" s="84" t="str">
        <f>IF(ISNUMBER('Raw Data &amp; Analysis Setup'!J17), IF(Calculation!P18&lt;0.04, 100/'Raw Data &amp; Analysis Setup'!J17, IF(Calculation!Q18&lt;=9, 250/'Raw Data &amp; Analysis Setup'!J17, "")), "")</f>
        <v/>
      </c>
      <c r="W18" s="24" t="str">
        <f t="shared" si="3"/>
        <v>Control</v>
      </c>
      <c r="X18" s="26">
        <f t="shared" si="4"/>
        <v>18.603333155314129</v>
      </c>
      <c r="Y18" s="26">
        <f t="shared" si="5"/>
        <v>19.196000417073567</v>
      </c>
      <c r="Z18" s="23">
        <f t="shared" si="8"/>
        <v>0.59266726175943774</v>
      </c>
      <c r="AA18" s="25" t="str">
        <f>IF(ISNUMBER(Z18),IF(AND(Z18&gt;-1.5,Z18&lt;1.5),"Pass","Fail"),"")</f>
        <v>Pass</v>
      </c>
    </row>
    <row r="19" spans="1:27" ht="15" customHeight="1" x14ac:dyDescent="0.25">
      <c r="A19" s="15">
        <f>'Raw Data &amp; Analysis Setup'!A19</f>
        <v>18</v>
      </c>
      <c r="B19" s="64">
        <f>IF(AND(ISNUMBER('Raw Data &amp; Analysis Setup'!B19),'Raw Data &amp; Analysis Setup'!B19&gt;0),'Raw Data &amp; Analysis Setup'!B19,"")</f>
        <v>20.621000289916992</v>
      </c>
      <c r="C19" s="65" t="s">
        <v>17</v>
      </c>
      <c r="D19" s="20">
        <v>96</v>
      </c>
      <c r="E19" s="20" t="s">
        <v>33</v>
      </c>
      <c r="F19" s="159"/>
      <c r="G19" s="159"/>
      <c r="H19" s="157"/>
      <c r="I19" s="158"/>
      <c r="J19" s="157"/>
      <c r="K19" s="157"/>
      <c r="Q19" s="3"/>
      <c r="R19" s="1"/>
    </row>
    <row r="20" spans="1:27" ht="15" customHeight="1" x14ac:dyDescent="0.25">
      <c r="A20" s="15">
        <f>'Raw Data &amp; Analysis Setup'!A20</f>
        <v>19</v>
      </c>
      <c r="B20" s="64">
        <f>IF(AND(ISNUMBER('Raw Data &amp; Analysis Setup'!B20),'Raw Data &amp; Analysis Setup'!B20&gt;0),'Raw Data &amp; Analysis Setup'!B20,"")</f>
        <v>25.905000686645508</v>
      </c>
      <c r="C20" s="65" t="s">
        <v>18</v>
      </c>
      <c r="D20" s="20">
        <v>91</v>
      </c>
      <c r="E20" s="20" t="s">
        <v>32</v>
      </c>
      <c r="F20" s="159">
        <v>100</v>
      </c>
      <c r="G20" s="160" t="s">
        <v>59</v>
      </c>
      <c r="H20" s="157">
        <f t="shared" ref="H20" si="11">IF(SUM(B20:B22)&gt;0,AVERAGE(B20:B22),"")</f>
        <v>25.848667144775391</v>
      </c>
      <c r="I20" s="158">
        <f t="shared" ref="I20" si="12">IF(SUM(B20:B22)&gt;0,STDEV(B20:B22),0)</f>
        <v>5.8620545132811994E-2</v>
      </c>
      <c r="J20" s="157">
        <f t="shared" ref="J20" si="13">IF(H20&lt;&gt;"",IF(VLOOKUP(D20,$A$2:$H$97,8,FALSE)&gt;0,VLOOKUP(D20,$A$2:$H$97,8,FALSE),""),"")</f>
        <v>18.603333155314129</v>
      </c>
      <c r="K20" s="157">
        <f>IF(ISNUMBER(H20),H20-J20,"")</f>
        <v>7.2453339894612618</v>
      </c>
      <c r="Q20" s="148" t="s">
        <v>118</v>
      </c>
      <c r="R20" s="149"/>
      <c r="S20" s="149"/>
      <c r="T20" s="149"/>
      <c r="U20" s="150"/>
    </row>
    <row r="21" spans="1:27" ht="15" customHeight="1" x14ac:dyDescent="0.25">
      <c r="A21" s="15">
        <f>'Raw Data &amp; Analysis Setup'!A21</f>
        <v>20</v>
      </c>
      <c r="B21" s="64">
        <f>IF(AND(ISNUMBER('Raw Data &amp; Analysis Setup'!B21),'Raw Data &amp; Analysis Setup'!B21&gt;0),'Raw Data &amp; Analysis Setup'!B21,"")</f>
        <v>25.788000106811523</v>
      </c>
      <c r="C21" s="65" t="s">
        <v>18</v>
      </c>
      <c r="D21" s="20">
        <v>92</v>
      </c>
      <c r="E21" s="20" t="s">
        <v>32</v>
      </c>
      <c r="F21" s="159"/>
      <c r="G21" s="159"/>
      <c r="H21" s="157"/>
      <c r="I21" s="158"/>
      <c r="J21" s="157"/>
      <c r="K21" s="157"/>
      <c r="Q21" s="151" t="s">
        <v>119</v>
      </c>
      <c r="R21" s="152"/>
      <c r="S21" s="152"/>
      <c r="T21" s="152"/>
      <c r="U21" s="153"/>
    </row>
    <row r="22" spans="1:27" ht="15" customHeight="1" x14ac:dyDescent="0.25">
      <c r="A22" s="15">
        <f>'Raw Data &amp; Analysis Setup'!A22</f>
        <v>21</v>
      </c>
      <c r="B22" s="64">
        <f>IF(AND(ISNUMBER('Raw Data &amp; Analysis Setup'!B22),'Raw Data &amp; Analysis Setup'!B22&gt;0),'Raw Data &amp; Analysis Setup'!B22,"")</f>
        <v>25.853000640869141</v>
      </c>
      <c r="C22" s="65" t="s">
        <v>18</v>
      </c>
      <c r="D22" s="20">
        <v>93</v>
      </c>
      <c r="E22" s="20" t="s">
        <v>32</v>
      </c>
      <c r="F22" s="159"/>
      <c r="G22" s="159"/>
      <c r="H22" s="157"/>
      <c r="I22" s="158"/>
      <c r="J22" s="157"/>
      <c r="K22" s="157"/>
      <c r="Q22" s="154" t="s">
        <v>120</v>
      </c>
      <c r="R22" s="155"/>
      <c r="S22" s="155"/>
      <c r="T22" s="155"/>
      <c r="U22" s="156"/>
    </row>
    <row r="23" spans="1:27" ht="15" customHeight="1" x14ac:dyDescent="0.25">
      <c r="A23" s="15">
        <f>'Raw Data &amp; Analysis Setup'!A23</f>
        <v>22</v>
      </c>
      <c r="B23" s="64" t="str">
        <f>IF(AND(ISNUMBER('Raw Data &amp; Analysis Setup'!B23),'Raw Data &amp; Analysis Setup'!B23&gt;0),'Raw Data &amp; Analysis Setup'!B23,"")</f>
        <v/>
      </c>
      <c r="C23" s="65" t="s">
        <v>18</v>
      </c>
      <c r="D23" s="20">
        <v>94</v>
      </c>
      <c r="E23" s="20" t="s">
        <v>33</v>
      </c>
      <c r="F23" s="159">
        <v>200</v>
      </c>
      <c r="G23" s="160" t="s">
        <v>61</v>
      </c>
      <c r="H23" s="157">
        <f t="shared" ref="H23" si="14">IF(SUM(B23:B25)&gt;0,AVERAGE(B23:B25),"")</f>
        <v>31.485500335693359</v>
      </c>
      <c r="I23" s="158">
        <f t="shared" ref="I23" si="15">IF(SUM(B23:B25)&gt;0,STDEV(B23:B25),0)</f>
        <v>0.16758396187422875</v>
      </c>
      <c r="J23" s="157">
        <f t="shared" ref="J23" si="16">IF(H23&lt;&gt;"",IF(VLOOKUP(D23,$A$2:$H$97,8,FALSE)&gt;0,VLOOKUP(D23,$A$2:$H$97,8,FALSE),""),"")</f>
        <v>19.196000417073567</v>
      </c>
      <c r="K23" s="157">
        <f>IF(ISNUMBER(H23),H23-J23,"")</f>
        <v>12.289499918619793</v>
      </c>
      <c r="R23" s="60"/>
      <c r="U23" s="60"/>
    </row>
    <row r="24" spans="1:27" ht="15" customHeight="1" x14ac:dyDescent="0.25">
      <c r="A24" s="15">
        <f>'Raw Data &amp; Analysis Setup'!A24</f>
        <v>23</v>
      </c>
      <c r="B24" s="64">
        <f>IF(AND(ISNUMBER('Raw Data &amp; Analysis Setup'!B24),'Raw Data &amp; Analysis Setup'!B24&gt;0),'Raw Data &amp; Analysis Setup'!B24,"")</f>
        <v>31.604000091552734</v>
      </c>
      <c r="C24" s="65" t="s">
        <v>18</v>
      </c>
      <c r="D24" s="20">
        <v>95</v>
      </c>
      <c r="E24" s="20" t="s">
        <v>33</v>
      </c>
      <c r="F24" s="159"/>
      <c r="G24" s="159"/>
      <c r="H24" s="157"/>
      <c r="I24" s="158"/>
      <c r="J24" s="157"/>
      <c r="K24" s="157"/>
      <c r="R24" s="60"/>
      <c r="U24" s="60"/>
    </row>
    <row r="25" spans="1:27" ht="15" customHeight="1" x14ac:dyDescent="0.25">
      <c r="A25" s="15">
        <f>'Raw Data &amp; Analysis Setup'!A25</f>
        <v>24</v>
      </c>
      <c r="B25" s="64">
        <f>IF(AND(ISNUMBER('Raw Data &amp; Analysis Setup'!B25),'Raw Data &amp; Analysis Setup'!B25&gt;0),'Raw Data &amp; Analysis Setup'!B25,"")</f>
        <v>31.367000579833984</v>
      </c>
      <c r="C25" s="65" t="s">
        <v>18</v>
      </c>
      <c r="D25" s="20">
        <v>96</v>
      </c>
      <c r="E25" s="20" t="s">
        <v>33</v>
      </c>
      <c r="F25" s="159"/>
      <c r="G25" s="159"/>
      <c r="H25" s="157"/>
      <c r="I25" s="158"/>
      <c r="J25" s="157"/>
      <c r="K25" s="157"/>
      <c r="R25" s="60"/>
      <c r="U25" s="60"/>
    </row>
    <row r="26" spans="1:27" ht="15" customHeight="1" x14ac:dyDescent="0.25">
      <c r="A26" s="15">
        <f>'Raw Data &amp; Analysis Setup'!A26</f>
        <v>25</v>
      </c>
      <c r="B26" s="64">
        <f>IF(AND(ISNUMBER('Raw Data &amp; Analysis Setup'!B26),'Raw Data &amp; Analysis Setup'!B26&gt;0),'Raw Data &amp; Analysis Setup'!B26,"")</f>
        <v>24.839000701904297</v>
      </c>
      <c r="C26" s="65" t="s">
        <v>19</v>
      </c>
      <c r="D26" s="20">
        <v>91</v>
      </c>
      <c r="E26" s="20" t="s">
        <v>32</v>
      </c>
      <c r="F26" s="159">
        <v>100</v>
      </c>
      <c r="G26" s="160" t="s">
        <v>63</v>
      </c>
      <c r="H26" s="157">
        <f t="shared" ref="H26" si="17">IF(SUM(B26:B28)&gt;0,AVERAGE(B26:B28),"")</f>
        <v>24.8836669921875</v>
      </c>
      <c r="I26" s="158">
        <f t="shared" ref="I26" si="18">IF(SUM(B26:B28)&gt;0,STDEV(B26:B28),0)</f>
        <v>4.0808342422823829E-2</v>
      </c>
      <c r="J26" s="157">
        <f t="shared" ref="J26" si="19">IF(H26&lt;&gt;"",IF(VLOOKUP(D26,$A$2:$H$97,8,FALSE)&gt;0,VLOOKUP(D26,$A$2:$H$97,8,FALSE),""),"")</f>
        <v>18.603333155314129</v>
      </c>
      <c r="K26" s="157">
        <f>IF(ISNUMBER(H26),H26-J26,"")</f>
        <v>6.2803338368733712</v>
      </c>
      <c r="R26" s="60"/>
      <c r="U26" s="60"/>
    </row>
    <row r="27" spans="1:27" ht="15" customHeight="1" x14ac:dyDescent="0.25">
      <c r="A27" s="15">
        <f>'Raw Data &amp; Analysis Setup'!A27</f>
        <v>26</v>
      </c>
      <c r="B27" s="64">
        <f>IF(AND(ISNUMBER('Raw Data &amp; Analysis Setup'!B27),'Raw Data &amp; Analysis Setup'!B27&gt;0),'Raw Data &amp; Analysis Setup'!B27,"")</f>
        <v>24.919000625610352</v>
      </c>
      <c r="C27" s="65" t="s">
        <v>19</v>
      </c>
      <c r="D27" s="20">
        <v>92</v>
      </c>
      <c r="E27" s="20" t="s">
        <v>32</v>
      </c>
      <c r="F27" s="159"/>
      <c r="G27" s="159"/>
      <c r="H27" s="157"/>
      <c r="I27" s="158"/>
      <c r="J27" s="157"/>
      <c r="K27" s="157"/>
      <c r="R27" s="60"/>
      <c r="U27" s="60"/>
    </row>
    <row r="28" spans="1:27" ht="15" customHeight="1" x14ac:dyDescent="0.25">
      <c r="A28" s="15">
        <f>'Raw Data &amp; Analysis Setup'!A28</f>
        <v>27</v>
      </c>
      <c r="B28" s="64">
        <f>IF(AND(ISNUMBER('Raw Data &amp; Analysis Setup'!B28),'Raw Data &amp; Analysis Setup'!B28&gt;0),'Raw Data &amp; Analysis Setup'!B28,"")</f>
        <v>24.892999649047852</v>
      </c>
      <c r="C28" s="65" t="s">
        <v>19</v>
      </c>
      <c r="D28" s="20">
        <v>93</v>
      </c>
      <c r="E28" s="20" t="s">
        <v>32</v>
      </c>
      <c r="F28" s="159"/>
      <c r="G28" s="159"/>
      <c r="H28" s="157"/>
      <c r="I28" s="158"/>
      <c r="J28" s="157"/>
      <c r="K28" s="157"/>
      <c r="R28" s="60"/>
      <c r="U28" s="60"/>
    </row>
    <row r="29" spans="1:27" ht="15" customHeight="1" x14ac:dyDescent="0.25">
      <c r="A29" s="15">
        <f>'Raw Data &amp; Analysis Setup'!A29</f>
        <v>28</v>
      </c>
      <c r="B29" s="64">
        <f>IF(AND(ISNUMBER('Raw Data &amp; Analysis Setup'!B29),'Raw Data &amp; Analysis Setup'!B29&gt;0),'Raw Data &amp; Analysis Setup'!B29,"")</f>
        <v>29.804000854492187</v>
      </c>
      <c r="C29" s="65" t="s">
        <v>19</v>
      </c>
      <c r="D29" s="20">
        <v>94</v>
      </c>
      <c r="E29" s="20" t="s">
        <v>33</v>
      </c>
      <c r="F29" s="159">
        <v>200</v>
      </c>
      <c r="G29" s="160" t="s">
        <v>65</v>
      </c>
      <c r="H29" s="157">
        <f t="shared" ref="H29" si="20">IF(SUM(B29:B31)&gt;0,AVERAGE(B29:B31),"")</f>
        <v>29.749666849772137</v>
      </c>
      <c r="I29" s="158">
        <f t="shared" ref="I29" si="21">IF(SUM(B29:B31)&gt;0,STDEV(B29:B31),0)</f>
        <v>0.28146131659251428</v>
      </c>
      <c r="J29" s="157">
        <f t="shared" ref="J29" si="22">IF(H29&lt;&gt;"",IF(VLOOKUP(D29,$A$2:$H$97,8,FALSE)&gt;0,VLOOKUP(D29,$A$2:$H$97,8,FALSE),""),"")</f>
        <v>19.196000417073567</v>
      </c>
      <c r="K29" s="157">
        <f>IF(ISNUMBER(H29),H29-J29,"")</f>
        <v>10.55366643269857</v>
      </c>
      <c r="R29" s="60"/>
      <c r="U29" s="60"/>
    </row>
    <row r="30" spans="1:27" ht="15" customHeight="1" x14ac:dyDescent="0.25">
      <c r="A30" s="15">
        <f>'Raw Data &amp; Analysis Setup'!A30</f>
        <v>29</v>
      </c>
      <c r="B30" s="64">
        <f>IF(AND(ISNUMBER('Raw Data &amp; Analysis Setup'!B30),'Raw Data &amp; Analysis Setup'!B30&gt;0),'Raw Data &amp; Analysis Setup'!B30,"")</f>
        <v>29.444999694824219</v>
      </c>
      <c r="C30" s="65" t="s">
        <v>19</v>
      </c>
      <c r="D30" s="20">
        <v>95</v>
      </c>
      <c r="E30" s="20" t="s">
        <v>33</v>
      </c>
      <c r="F30" s="159"/>
      <c r="G30" s="159"/>
      <c r="H30" s="157"/>
      <c r="I30" s="158"/>
      <c r="J30" s="157"/>
      <c r="K30" s="157"/>
      <c r="R30" s="60"/>
      <c r="U30" s="60"/>
    </row>
    <row r="31" spans="1:27" ht="15" customHeight="1" x14ac:dyDescent="0.25">
      <c r="A31" s="15">
        <f>'Raw Data &amp; Analysis Setup'!A31</f>
        <v>30</v>
      </c>
      <c r="B31" s="64">
        <f>IF(AND(ISNUMBER('Raw Data &amp; Analysis Setup'!B31),'Raw Data &amp; Analysis Setup'!B31&gt;0),'Raw Data &amp; Analysis Setup'!B31,"")</f>
        <v>30</v>
      </c>
      <c r="C31" s="65" t="s">
        <v>19</v>
      </c>
      <c r="D31" s="20">
        <v>96</v>
      </c>
      <c r="E31" s="20" t="s">
        <v>33</v>
      </c>
      <c r="F31" s="159"/>
      <c r="G31" s="159"/>
      <c r="H31" s="157"/>
      <c r="I31" s="158"/>
      <c r="J31" s="157"/>
      <c r="K31" s="157"/>
      <c r="R31" s="60"/>
      <c r="U31" s="60"/>
    </row>
    <row r="32" spans="1:27" ht="15" customHeight="1" x14ac:dyDescent="0.25">
      <c r="A32" s="15">
        <f>'Raw Data &amp; Analysis Setup'!A32</f>
        <v>31</v>
      </c>
      <c r="B32" s="64">
        <f>IF(AND(ISNUMBER('Raw Data &amp; Analysis Setup'!B32),'Raw Data &amp; Analysis Setup'!B32&gt;0),'Raw Data &amp; Analysis Setup'!B32,"")</f>
        <v>18.062000274658203</v>
      </c>
      <c r="C32" s="65" t="s">
        <v>20</v>
      </c>
      <c r="D32" s="20">
        <v>91</v>
      </c>
      <c r="E32" s="20" t="s">
        <v>32</v>
      </c>
      <c r="F32" s="159">
        <v>100</v>
      </c>
      <c r="G32" s="160" t="s">
        <v>67</v>
      </c>
      <c r="H32" s="157">
        <f t="shared" ref="H32" si="23">IF(SUM(B32:B34)&gt;0,AVERAGE(B32:B34),"")</f>
        <v>18.049333572387695</v>
      </c>
      <c r="I32" s="158">
        <f t="shared" ref="I32" si="24">IF(SUM(B32:B34)&gt;0,STDEV(B32:B34),0)</f>
        <v>3.5725287091960524E-2</v>
      </c>
      <c r="J32" s="157">
        <f t="shared" ref="J32" si="25">IF(H32&lt;&gt;"",IF(VLOOKUP(D32,$A$2:$H$97,8,FALSE)&gt;0,VLOOKUP(D32,$A$2:$H$97,8,FALSE),""),"")</f>
        <v>18.603333155314129</v>
      </c>
      <c r="K32" s="157">
        <f>IF(ISNUMBER(H32),H32-J32,"")</f>
        <v>-0.55399958292643348</v>
      </c>
      <c r="R32" s="60"/>
      <c r="U32" s="60"/>
    </row>
    <row r="33" spans="1:21" ht="15" customHeight="1" x14ac:dyDescent="0.25">
      <c r="A33" s="15">
        <f>'Raw Data &amp; Analysis Setup'!A33</f>
        <v>32</v>
      </c>
      <c r="B33" s="64">
        <f>IF(AND(ISNUMBER('Raw Data &amp; Analysis Setup'!B33),'Raw Data &amp; Analysis Setup'!B33&gt;0),'Raw Data &amp; Analysis Setup'!B33,"")</f>
        <v>18.076999664306641</v>
      </c>
      <c r="C33" s="65" t="s">
        <v>20</v>
      </c>
      <c r="D33" s="20">
        <v>92</v>
      </c>
      <c r="E33" s="20" t="s">
        <v>32</v>
      </c>
      <c r="F33" s="159"/>
      <c r="G33" s="159"/>
      <c r="H33" s="157"/>
      <c r="I33" s="158"/>
      <c r="J33" s="157"/>
      <c r="K33" s="157"/>
      <c r="R33" s="60"/>
      <c r="U33" s="60"/>
    </row>
    <row r="34" spans="1:21" ht="15" customHeight="1" x14ac:dyDescent="0.25">
      <c r="A34" s="15">
        <f>'Raw Data &amp; Analysis Setup'!A34</f>
        <v>33</v>
      </c>
      <c r="B34" s="64">
        <f>IF(AND(ISNUMBER('Raw Data &amp; Analysis Setup'!B34),'Raw Data &amp; Analysis Setup'!B34&gt;0),'Raw Data &amp; Analysis Setup'!B34,"")</f>
        <v>18.009000778198242</v>
      </c>
      <c r="C34" s="65" t="s">
        <v>20</v>
      </c>
      <c r="D34" s="20">
        <v>93</v>
      </c>
      <c r="E34" s="20" t="s">
        <v>32</v>
      </c>
      <c r="F34" s="159"/>
      <c r="G34" s="159"/>
      <c r="H34" s="157"/>
      <c r="I34" s="158"/>
      <c r="J34" s="157"/>
      <c r="K34" s="157"/>
      <c r="R34" s="60"/>
      <c r="U34" s="60"/>
    </row>
    <row r="35" spans="1:21" ht="15" customHeight="1" x14ac:dyDescent="0.25">
      <c r="A35" s="15">
        <f>'Raw Data &amp; Analysis Setup'!A35</f>
        <v>34</v>
      </c>
      <c r="B35" s="64">
        <f>IF(AND(ISNUMBER('Raw Data &amp; Analysis Setup'!B35),'Raw Data &amp; Analysis Setup'!B35&gt;0),'Raw Data &amp; Analysis Setup'!B35,"")</f>
        <v>20.367000579833984</v>
      </c>
      <c r="C35" s="65" t="s">
        <v>20</v>
      </c>
      <c r="D35" s="20">
        <v>94</v>
      </c>
      <c r="E35" s="20" t="s">
        <v>33</v>
      </c>
      <c r="F35" s="159">
        <v>200</v>
      </c>
      <c r="G35" s="160" t="s">
        <v>69</v>
      </c>
      <c r="H35" s="157">
        <f t="shared" ref="H35" si="26">IF(SUM(B35:B37)&gt;0,AVERAGE(B35:B37),"")</f>
        <v>20.380666732788086</v>
      </c>
      <c r="I35" s="158">
        <f t="shared" ref="I35" si="27">IF(SUM(B35:B37)&gt;0,STDEV(B35:B37),0)</f>
        <v>3.1785582463721027E-2</v>
      </c>
      <c r="J35" s="157">
        <f t="shared" ref="J35" si="28">IF(H35&lt;&gt;"",IF(VLOOKUP(D35,$A$2:$H$97,8,FALSE)&gt;0,VLOOKUP(D35,$A$2:$H$97,8,FALSE),""),"")</f>
        <v>19.196000417073567</v>
      </c>
      <c r="K35" s="157">
        <f>IF(ISNUMBER(H35),H35-J35,"")</f>
        <v>1.1846663157145194</v>
      </c>
      <c r="U35" s="59"/>
    </row>
    <row r="36" spans="1:21" ht="15" customHeight="1" x14ac:dyDescent="0.25">
      <c r="A36" s="15">
        <f>'Raw Data &amp; Analysis Setup'!A36</f>
        <v>35</v>
      </c>
      <c r="B36" s="64">
        <f>IF(AND(ISNUMBER('Raw Data &amp; Analysis Setup'!B36),'Raw Data &amp; Analysis Setup'!B36&gt;0),'Raw Data &amp; Analysis Setup'!B36,"")</f>
        <v>20.416999816894531</v>
      </c>
      <c r="C36" s="65" t="s">
        <v>20</v>
      </c>
      <c r="D36" s="20">
        <v>95</v>
      </c>
      <c r="E36" s="20" t="s">
        <v>33</v>
      </c>
      <c r="F36" s="159"/>
      <c r="G36" s="159"/>
      <c r="H36" s="157"/>
      <c r="I36" s="158"/>
      <c r="J36" s="157"/>
      <c r="K36" s="157"/>
      <c r="U36" s="59"/>
    </row>
    <row r="37" spans="1:21" ht="15" customHeight="1" x14ac:dyDescent="0.25">
      <c r="A37" s="15">
        <f>'Raw Data &amp; Analysis Setup'!A37</f>
        <v>36</v>
      </c>
      <c r="B37" s="64">
        <f>IF(AND(ISNUMBER('Raw Data &amp; Analysis Setup'!B37),'Raw Data &amp; Analysis Setup'!B37&gt;0),'Raw Data &amp; Analysis Setup'!B37,"")</f>
        <v>20.357999801635742</v>
      </c>
      <c r="C37" s="65" t="s">
        <v>20</v>
      </c>
      <c r="D37" s="20">
        <v>96</v>
      </c>
      <c r="E37" s="20" t="s">
        <v>33</v>
      </c>
      <c r="F37" s="159"/>
      <c r="G37" s="159"/>
      <c r="H37" s="157"/>
      <c r="I37" s="158"/>
      <c r="J37" s="157"/>
      <c r="K37" s="157"/>
    </row>
    <row r="38" spans="1:21" ht="15" customHeight="1" x14ac:dyDescent="0.25">
      <c r="A38" s="15">
        <f>'Raw Data &amp; Analysis Setup'!A38</f>
        <v>37</v>
      </c>
      <c r="B38" s="64">
        <f>IF(AND(ISNUMBER('Raw Data &amp; Analysis Setup'!B38),'Raw Data &amp; Analysis Setup'!B38&gt;0),'Raw Data &amp; Analysis Setup'!B38,"")</f>
        <v>17.840999603271484</v>
      </c>
      <c r="C38" s="65" t="s">
        <v>21</v>
      </c>
      <c r="D38" s="20">
        <v>91</v>
      </c>
      <c r="E38" s="20" t="s">
        <v>32</v>
      </c>
      <c r="F38" s="159">
        <v>100</v>
      </c>
      <c r="G38" s="160" t="s">
        <v>71</v>
      </c>
      <c r="H38" s="157">
        <f t="shared" ref="H38" si="29">IF(SUM(B38:B40)&gt;0,AVERAGE(B38:B40),"")</f>
        <v>17.778333028157551</v>
      </c>
      <c r="I38" s="158">
        <f t="shared" ref="I38" si="30">IF(SUM(B38:B40)&gt;0,STDEV(B38:B40),0)</f>
        <v>5.5374341331746062E-2</v>
      </c>
      <c r="J38" s="157">
        <f t="shared" ref="J38" si="31">IF(H38&lt;&gt;"",IF(VLOOKUP(D38,$A$2:$H$97,8,FALSE)&gt;0,VLOOKUP(D38,$A$2:$H$97,8,FALSE),""),"")</f>
        <v>18.603333155314129</v>
      </c>
      <c r="K38" s="157">
        <f>IF(ISNUMBER(H38),H38-J38,"")</f>
        <v>-0.82500012715657789</v>
      </c>
    </row>
    <row r="39" spans="1:21" ht="15" customHeight="1" x14ac:dyDescent="0.25">
      <c r="A39" s="15">
        <f>'Raw Data &amp; Analysis Setup'!A39</f>
        <v>38</v>
      </c>
      <c r="B39" s="64">
        <f>IF(AND(ISNUMBER('Raw Data &amp; Analysis Setup'!B39),'Raw Data &amp; Analysis Setup'!B39&gt;0),'Raw Data &amp; Analysis Setup'!B39,"")</f>
        <v>17.736000061035156</v>
      </c>
      <c r="C39" s="65" t="s">
        <v>21</v>
      </c>
      <c r="D39" s="20">
        <v>92</v>
      </c>
      <c r="E39" s="20" t="s">
        <v>32</v>
      </c>
      <c r="F39" s="159"/>
      <c r="G39" s="159"/>
      <c r="H39" s="157"/>
      <c r="I39" s="158"/>
      <c r="J39" s="157"/>
      <c r="K39" s="157"/>
    </row>
    <row r="40" spans="1:21" ht="15" customHeight="1" x14ac:dyDescent="0.25">
      <c r="A40" s="15">
        <f>'Raw Data &amp; Analysis Setup'!A40</f>
        <v>39</v>
      </c>
      <c r="B40" s="64">
        <f>IF(AND(ISNUMBER('Raw Data &amp; Analysis Setup'!B40),'Raw Data &amp; Analysis Setup'!B40&gt;0),'Raw Data &amp; Analysis Setup'!B40,"")</f>
        <v>17.757999420166016</v>
      </c>
      <c r="C40" s="65" t="s">
        <v>21</v>
      </c>
      <c r="D40" s="20">
        <v>93</v>
      </c>
      <c r="E40" s="20" t="s">
        <v>32</v>
      </c>
      <c r="F40" s="159"/>
      <c r="G40" s="159"/>
      <c r="H40" s="157"/>
      <c r="I40" s="158"/>
      <c r="J40" s="157"/>
      <c r="K40" s="157"/>
    </row>
    <row r="41" spans="1:21" ht="15" customHeight="1" x14ac:dyDescent="0.25">
      <c r="A41" s="15">
        <f>'Raw Data &amp; Analysis Setup'!A41</f>
        <v>40</v>
      </c>
      <c r="B41" s="64">
        <f>IF(AND(ISNUMBER('Raw Data &amp; Analysis Setup'!B41),'Raw Data &amp; Analysis Setup'!B41&gt;0),'Raw Data &amp; Analysis Setup'!B41,"")</f>
        <v>19.566999435424805</v>
      </c>
      <c r="C41" s="65" t="s">
        <v>21</v>
      </c>
      <c r="D41" s="20">
        <v>94</v>
      </c>
      <c r="E41" s="20" t="s">
        <v>33</v>
      </c>
      <c r="F41" s="159">
        <v>200</v>
      </c>
      <c r="G41" s="160" t="s">
        <v>73</v>
      </c>
      <c r="H41" s="157">
        <f t="shared" ref="H41" si="32">IF(SUM(B41:B43)&gt;0,AVERAGE(B41:B43),"")</f>
        <v>19.555333455403645</v>
      </c>
      <c r="I41" s="158">
        <f t="shared" ref="I41" si="33">IF(SUM(B41:B43)&gt;0,STDEV(B41:B43),0)</f>
        <v>1.5307826916144145E-2</v>
      </c>
      <c r="J41" s="157">
        <f t="shared" ref="J41" si="34">IF(H41&lt;&gt;"",IF(VLOOKUP(D41,$A$2:$H$97,8,FALSE)&gt;0,VLOOKUP(D41,$A$2:$H$97,8,FALSE),""),"")</f>
        <v>19.196000417073567</v>
      </c>
      <c r="K41" s="157">
        <f>IF(ISNUMBER(H41),H41-J41,"")</f>
        <v>0.35933303833007813</v>
      </c>
    </row>
    <row r="42" spans="1:21" ht="15" customHeight="1" x14ac:dyDescent="0.25">
      <c r="A42" s="15">
        <f>'Raw Data &amp; Analysis Setup'!A42</f>
        <v>41</v>
      </c>
      <c r="B42" s="64">
        <f>IF(AND(ISNUMBER('Raw Data &amp; Analysis Setup'!B42),'Raw Data &amp; Analysis Setup'!B42&gt;0),'Raw Data &amp; Analysis Setup'!B42,"")</f>
        <v>19.561000823974609</v>
      </c>
      <c r="C42" s="65" t="s">
        <v>21</v>
      </c>
      <c r="D42" s="20">
        <v>95</v>
      </c>
      <c r="E42" s="20" t="s">
        <v>33</v>
      </c>
      <c r="F42" s="159"/>
      <c r="G42" s="159"/>
      <c r="H42" s="157"/>
      <c r="I42" s="158"/>
      <c r="J42" s="157"/>
      <c r="K42" s="157"/>
    </row>
    <row r="43" spans="1:21" ht="15" customHeight="1" x14ac:dyDescent="0.25">
      <c r="A43" s="15">
        <f>'Raw Data &amp; Analysis Setup'!A43</f>
        <v>42</v>
      </c>
      <c r="B43" s="64">
        <f>IF(AND(ISNUMBER('Raw Data &amp; Analysis Setup'!B43),'Raw Data &amp; Analysis Setup'!B43&gt;0),'Raw Data &amp; Analysis Setup'!B43,"")</f>
        <v>19.538000106811523</v>
      </c>
      <c r="C43" s="65" t="s">
        <v>21</v>
      </c>
      <c r="D43" s="20">
        <v>96</v>
      </c>
      <c r="E43" s="20" t="s">
        <v>33</v>
      </c>
      <c r="F43" s="159"/>
      <c r="G43" s="159"/>
      <c r="H43" s="157"/>
      <c r="I43" s="158"/>
      <c r="J43" s="157"/>
      <c r="K43" s="157"/>
    </row>
    <row r="44" spans="1:21" ht="15" customHeight="1" x14ac:dyDescent="0.25">
      <c r="A44" s="15">
        <f>'Raw Data &amp; Analysis Setup'!A44</f>
        <v>43</v>
      </c>
      <c r="B44" s="64">
        <f>IF(AND(ISNUMBER('Raw Data &amp; Analysis Setup'!B44),'Raw Data &amp; Analysis Setup'!B44&gt;0),'Raw Data &amp; Analysis Setup'!B44,"")</f>
        <v>16.368999481201172</v>
      </c>
      <c r="C44" s="65" t="s">
        <v>22</v>
      </c>
      <c r="D44" s="20">
        <v>91</v>
      </c>
      <c r="E44" s="20" t="s">
        <v>32</v>
      </c>
      <c r="F44" s="159">
        <v>100</v>
      </c>
      <c r="G44" s="160" t="s">
        <v>75</v>
      </c>
      <c r="H44" s="157">
        <f t="shared" ref="H44" si="35">IF(SUM(B44:B46)&gt;0,AVERAGE(B44:B46),"")</f>
        <v>16.348666508992512</v>
      </c>
      <c r="I44" s="158">
        <f t="shared" ref="I44" si="36">IF(SUM(B44:B46)&gt;0,STDEV(B44:B46),0)</f>
        <v>1.8770005212945994E-2</v>
      </c>
      <c r="J44" s="157">
        <f t="shared" ref="J44" si="37">IF(H44&lt;&gt;"",IF(VLOOKUP(D44,$A$2:$H$97,8,FALSE)&gt;0,VLOOKUP(D44,$A$2:$H$97,8,FALSE),""),"")</f>
        <v>18.603333155314129</v>
      </c>
      <c r="K44" s="157">
        <f>IF(ISNUMBER(H44),H44-J44,"")</f>
        <v>-2.254666646321617</v>
      </c>
    </row>
    <row r="45" spans="1:21" ht="15" customHeight="1" x14ac:dyDescent="0.25">
      <c r="A45" s="15">
        <f>'Raw Data &amp; Analysis Setup'!A45</f>
        <v>44</v>
      </c>
      <c r="B45" s="64">
        <f>IF(AND(ISNUMBER('Raw Data &amp; Analysis Setup'!B45),'Raw Data &amp; Analysis Setup'!B45&gt;0),'Raw Data &amp; Analysis Setup'!B45,"")</f>
        <v>16.344999313354492</v>
      </c>
      <c r="C45" s="65" t="s">
        <v>22</v>
      </c>
      <c r="D45" s="20">
        <v>92</v>
      </c>
      <c r="E45" s="20" t="s">
        <v>32</v>
      </c>
      <c r="F45" s="159"/>
      <c r="G45" s="159"/>
      <c r="H45" s="157"/>
      <c r="I45" s="158"/>
      <c r="J45" s="157"/>
      <c r="K45" s="157"/>
    </row>
    <row r="46" spans="1:21" ht="15" customHeight="1" x14ac:dyDescent="0.25">
      <c r="A46" s="15">
        <f>'Raw Data &amp; Analysis Setup'!A46</f>
        <v>45</v>
      </c>
      <c r="B46" s="64">
        <f>IF(AND(ISNUMBER('Raw Data &amp; Analysis Setup'!B46),'Raw Data &amp; Analysis Setup'!B46&gt;0),'Raw Data &amp; Analysis Setup'!B46,"")</f>
        <v>16.332000732421875</v>
      </c>
      <c r="C46" s="65" t="s">
        <v>22</v>
      </c>
      <c r="D46" s="20">
        <v>93</v>
      </c>
      <c r="E46" s="20" t="s">
        <v>32</v>
      </c>
      <c r="F46" s="159"/>
      <c r="G46" s="159"/>
      <c r="H46" s="157"/>
      <c r="I46" s="158"/>
      <c r="J46" s="157"/>
      <c r="K46" s="157"/>
    </row>
    <row r="47" spans="1:21" ht="15" customHeight="1" x14ac:dyDescent="0.25">
      <c r="A47" s="15">
        <f>'Raw Data &amp; Analysis Setup'!A47</f>
        <v>46</v>
      </c>
      <c r="B47" s="64">
        <f>IF(AND(ISNUMBER('Raw Data &amp; Analysis Setup'!B47),'Raw Data &amp; Analysis Setup'!B47&gt;0),'Raw Data &amp; Analysis Setup'!B47,"")</f>
        <v>17.655000686645508</v>
      </c>
      <c r="C47" s="65" t="s">
        <v>22</v>
      </c>
      <c r="D47" s="20">
        <v>94</v>
      </c>
      <c r="E47" s="20" t="s">
        <v>33</v>
      </c>
      <c r="F47" s="159">
        <v>200</v>
      </c>
      <c r="G47" s="160" t="s">
        <v>77</v>
      </c>
      <c r="H47" s="157">
        <f t="shared" ref="H47" si="38">IF(SUM(B47:B49)&gt;0,AVERAGE(B47:B49),"")</f>
        <v>17.640000025431316</v>
      </c>
      <c r="I47" s="158">
        <f t="shared" ref="I47" si="39">IF(SUM(B47:B49)&gt;0,STDEV(B47:B49),0)</f>
        <v>1.4526460392503354E-2</v>
      </c>
      <c r="J47" s="157">
        <f t="shared" ref="J47" si="40">IF(H47&lt;&gt;"",IF(VLOOKUP(D47,$A$2:$H$97,8,FALSE)&gt;0,VLOOKUP(D47,$A$2:$H$97,8,FALSE),""),"")</f>
        <v>19.196000417073567</v>
      </c>
      <c r="K47" s="157">
        <f>IF(ISNUMBER(H47),H47-J47,"")</f>
        <v>-1.5560003916422502</v>
      </c>
    </row>
    <row r="48" spans="1:21" ht="15" customHeight="1" x14ac:dyDescent="0.25">
      <c r="A48" s="15">
        <f>'Raw Data &amp; Analysis Setup'!A48</f>
        <v>47</v>
      </c>
      <c r="B48" s="64">
        <f>IF(AND(ISNUMBER('Raw Data &amp; Analysis Setup'!B48),'Raw Data &amp; Analysis Setup'!B48&gt;0),'Raw Data &amp; Analysis Setup'!B48,"")</f>
        <v>17.625999450683594</v>
      </c>
      <c r="C48" s="65" t="s">
        <v>22</v>
      </c>
      <c r="D48" s="20">
        <v>95</v>
      </c>
      <c r="E48" s="20" t="s">
        <v>33</v>
      </c>
      <c r="F48" s="159"/>
      <c r="G48" s="159"/>
      <c r="H48" s="157"/>
      <c r="I48" s="158"/>
      <c r="J48" s="157"/>
      <c r="K48" s="157"/>
    </row>
    <row r="49" spans="1:11" ht="15" customHeight="1" x14ac:dyDescent="0.25">
      <c r="A49" s="15">
        <f>'Raw Data &amp; Analysis Setup'!A49</f>
        <v>48</v>
      </c>
      <c r="B49" s="64">
        <f>IF(AND(ISNUMBER('Raw Data &amp; Analysis Setup'!B49),'Raw Data &amp; Analysis Setup'!B49&gt;0),'Raw Data &amp; Analysis Setup'!B49,"")</f>
        <v>17.638999938964844</v>
      </c>
      <c r="C49" s="65" t="s">
        <v>22</v>
      </c>
      <c r="D49" s="20">
        <v>96</v>
      </c>
      <c r="E49" s="20" t="s">
        <v>33</v>
      </c>
      <c r="F49" s="159"/>
      <c r="G49" s="159"/>
      <c r="H49" s="157"/>
      <c r="I49" s="158"/>
      <c r="J49" s="157"/>
      <c r="K49" s="157"/>
    </row>
    <row r="50" spans="1:11" ht="15" customHeight="1" x14ac:dyDescent="0.25">
      <c r="A50" s="15">
        <f>'Raw Data &amp; Analysis Setup'!A50</f>
        <v>49</v>
      </c>
      <c r="B50" s="64">
        <f>IF(AND(ISNUMBER('Raw Data &amp; Analysis Setup'!B50),'Raw Data &amp; Analysis Setup'!B50&gt;0),'Raw Data &amp; Analysis Setup'!B50,"")</f>
        <v>19.643999099731445</v>
      </c>
      <c r="C50" s="65" t="s">
        <v>23</v>
      </c>
      <c r="D50" s="20">
        <v>91</v>
      </c>
      <c r="E50" s="20" t="s">
        <v>32</v>
      </c>
      <c r="F50" s="159">
        <v>100</v>
      </c>
      <c r="G50" s="160" t="s">
        <v>48</v>
      </c>
      <c r="H50" s="157">
        <f t="shared" ref="H50" si="41">IF(SUM(B50:B52)&gt;0,AVERAGE(B50:B52),"")</f>
        <v>19.644333521525066</v>
      </c>
      <c r="I50" s="158">
        <f t="shared" ref="I50" si="42">IF(SUM(B50:B52)&gt;0,STDEV(B50:B52),0)</f>
        <v>1.3503319825877498E-2</v>
      </c>
      <c r="J50" s="157">
        <f t="shared" ref="J50" si="43">IF(H50&lt;&gt;"",IF(VLOOKUP(D50,$A$2:$H$97,8,FALSE)&gt;0,VLOOKUP(D50,$A$2:$H$97,8,FALSE),""),"")</f>
        <v>18.603333155314129</v>
      </c>
      <c r="K50" s="157">
        <f>IF(ISNUMBER(H50),H50-J50,"")</f>
        <v>1.0410003662109375</v>
      </c>
    </row>
    <row r="51" spans="1:11" ht="15" customHeight="1" x14ac:dyDescent="0.25">
      <c r="A51" s="15">
        <f>'Raw Data &amp; Analysis Setup'!A51</f>
        <v>50</v>
      </c>
      <c r="B51" s="64">
        <f>IF(AND(ISNUMBER('Raw Data &amp; Analysis Setup'!B51),'Raw Data &amp; Analysis Setup'!B51&gt;0),'Raw Data &amp; Analysis Setup'!B51,"")</f>
        <v>19.631000518798828</v>
      </c>
      <c r="C51" s="65" t="s">
        <v>23</v>
      </c>
      <c r="D51" s="20">
        <v>92</v>
      </c>
      <c r="E51" s="20" t="s">
        <v>32</v>
      </c>
      <c r="F51" s="159"/>
      <c r="G51" s="159"/>
      <c r="H51" s="157"/>
      <c r="I51" s="158"/>
      <c r="J51" s="157"/>
      <c r="K51" s="157"/>
    </row>
    <row r="52" spans="1:11" ht="15" customHeight="1" x14ac:dyDescent="0.25">
      <c r="A52" s="15">
        <f>'Raw Data &amp; Analysis Setup'!A52</f>
        <v>51</v>
      </c>
      <c r="B52" s="64">
        <f>IF(AND(ISNUMBER('Raw Data &amp; Analysis Setup'!B52),'Raw Data &amp; Analysis Setup'!B52&gt;0),'Raw Data &amp; Analysis Setup'!B52,"")</f>
        <v>19.658000946044922</v>
      </c>
      <c r="C52" s="65" t="s">
        <v>23</v>
      </c>
      <c r="D52" s="20">
        <v>93</v>
      </c>
      <c r="E52" s="20" t="s">
        <v>32</v>
      </c>
      <c r="F52" s="159"/>
      <c r="G52" s="159"/>
      <c r="H52" s="157"/>
      <c r="I52" s="158"/>
      <c r="J52" s="157"/>
      <c r="K52" s="157"/>
    </row>
    <row r="53" spans="1:11" ht="15" customHeight="1" x14ac:dyDescent="0.25">
      <c r="A53" s="15">
        <f>'Raw Data &amp; Analysis Setup'!A53</f>
        <v>52</v>
      </c>
      <c r="B53" s="64">
        <f>IF(AND(ISNUMBER('Raw Data &amp; Analysis Setup'!B53),'Raw Data &amp; Analysis Setup'!B53&gt;0),'Raw Data &amp; Analysis Setup'!B53,"")</f>
        <v>22.575000762939453</v>
      </c>
      <c r="C53" s="65" t="s">
        <v>23</v>
      </c>
      <c r="D53" s="20">
        <v>94</v>
      </c>
      <c r="E53" s="20" t="s">
        <v>33</v>
      </c>
      <c r="F53" s="159">
        <v>200</v>
      </c>
      <c r="G53" s="160" t="s">
        <v>50</v>
      </c>
      <c r="H53" s="157">
        <f t="shared" ref="H53" si="44">IF(SUM(B53:B55)&gt;0,AVERAGE(B53:B55),"")</f>
        <v>22.569000244140625</v>
      </c>
      <c r="I53" s="158">
        <f t="shared" ref="I53" si="45">IF(SUM(B53:B55)&gt;0,STDEV(B53:B55),0)</f>
        <v>6.000518798828125E-3</v>
      </c>
      <c r="J53" s="157">
        <f t="shared" ref="J53" si="46">IF(H53&lt;&gt;"",IF(VLOOKUP(D53,$A$2:$H$97,8,FALSE)&gt;0,VLOOKUP(D53,$A$2:$H$97,8,FALSE),""),"")</f>
        <v>19.196000417073567</v>
      </c>
      <c r="K53" s="157">
        <f>IF(ISNUMBER(H53),H53-J53,"")</f>
        <v>3.3729998270670585</v>
      </c>
    </row>
    <row r="54" spans="1:11" ht="15" customHeight="1" x14ac:dyDescent="0.25">
      <c r="A54" s="15">
        <f>'Raw Data &amp; Analysis Setup'!A54</f>
        <v>53</v>
      </c>
      <c r="B54" s="64">
        <f>IF(AND(ISNUMBER('Raw Data &amp; Analysis Setup'!B54),'Raw Data &amp; Analysis Setup'!B54&gt;0),'Raw Data &amp; Analysis Setup'!B54,"")</f>
        <v>22.562999725341797</v>
      </c>
      <c r="C54" s="65" t="s">
        <v>23</v>
      </c>
      <c r="D54" s="20">
        <v>95</v>
      </c>
      <c r="E54" s="20" t="s">
        <v>33</v>
      </c>
      <c r="F54" s="159"/>
      <c r="G54" s="159"/>
      <c r="H54" s="157"/>
      <c r="I54" s="158"/>
      <c r="J54" s="157"/>
      <c r="K54" s="157"/>
    </row>
    <row r="55" spans="1:11" ht="15" customHeight="1" x14ac:dyDescent="0.25">
      <c r="A55" s="15">
        <f>'Raw Data &amp; Analysis Setup'!A55</f>
        <v>54</v>
      </c>
      <c r="B55" s="64">
        <f>IF(AND(ISNUMBER('Raw Data &amp; Analysis Setup'!B55),'Raw Data &amp; Analysis Setup'!B55&gt;0),'Raw Data &amp; Analysis Setup'!B55,"")</f>
        <v>22.569000244140625</v>
      </c>
      <c r="C55" s="65" t="s">
        <v>23</v>
      </c>
      <c r="D55" s="20">
        <v>96</v>
      </c>
      <c r="E55" s="20" t="s">
        <v>33</v>
      </c>
      <c r="F55" s="159"/>
      <c r="G55" s="159"/>
      <c r="H55" s="157"/>
      <c r="I55" s="158"/>
      <c r="J55" s="157"/>
      <c r="K55" s="157"/>
    </row>
    <row r="56" spans="1:11" ht="15" customHeight="1" x14ac:dyDescent="0.25">
      <c r="A56" s="15">
        <f>'Raw Data &amp; Analysis Setup'!A56</f>
        <v>55</v>
      </c>
      <c r="B56" s="64">
        <f>IF(AND(ISNUMBER('Raw Data &amp; Analysis Setup'!B56),'Raw Data &amp; Analysis Setup'!B56&gt;0),'Raw Data &amp; Analysis Setup'!B56,"")</f>
        <v>21.097999572753906</v>
      </c>
      <c r="C56" s="65" t="s">
        <v>24</v>
      </c>
      <c r="D56" s="20">
        <v>91</v>
      </c>
      <c r="E56" s="20" t="s">
        <v>32</v>
      </c>
      <c r="F56" s="159">
        <v>100</v>
      </c>
      <c r="G56" s="160" t="s">
        <v>52</v>
      </c>
      <c r="H56" s="157">
        <f t="shared" ref="H56" si="47">IF(SUM(B56:B58)&gt;0,AVERAGE(B56:B58),"")</f>
        <v>21.031999588012695</v>
      </c>
      <c r="I56" s="158">
        <f t="shared" ref="I56" si="48">IF(SUM(B56:B58)&gt;0,STDEV(B56:B58),0)</f>
        <v>5.7471673640701597E-2</v>
      </c>
      <c r="J56" s="157">
        <f t="shared" ref="J56" si="49">IF(H56&lt;&gt;"",IF(VLOOKUP(D56,$A$2:$H$97,8,FALSE)&gt;0,VLOOKUP(D56,$A$2:$H$97,8,FALSE),""),"")</f>
        <v>18.603333155314129</v>
      </c>
      <c r="K56" s="157">
        <f>IF(ISNUMBER(H56),H56-J56,"")</f>
        <v>2.4286664326985665</v>
      </c>
    </row>
    <row r="57" spans="1:11" ht="15" customHeight="1" x14ac:dyDescent="0.25">
      <c r="A57" s="15">
        <f>'Raw Data &amp; Analysis Setup'!A57</f>
        <v>56</v>
      </c>
      <c r="B57" s="64">
        <f>IF(AND(ISNUMBER('Raw Data &amp; Analysis Setup'!B57),'Raw Data &amp; Analysis Setup'!B57&gt;0),'Raw Data &amp; Analysis Setup'!B57,"")</f>
        <v>20.993000030517578</v>
      </c>
      <c r="C57" s="65" t="s">
        <v>24</v>
      </c>
      <c r="D57" s="20">
        <v>92</v>
      </c>
      <c r="E57" s="20" t="s">
        <v>32</v>
      </c>
      <c r="F57" s="159"/>
      <c r="G57" s="159"/>
      <c r="H57" s="157"/>
      <c r="I57" s="158"/>
      <c r="J57" s="157"/>
      <c r="K57" s="157"/>
    </row>
    <row r="58" spans="1:11" ht="15" customHeight="1" x14ac:dyDescent="0.25">
      <c r="A58" s="15">
        <f>'Raw Data &amp; Analysis Setup'!A58</f>
        <v>57</v>
      </c>
      <c r="B58" s="64">
        <f>IF(AND(ISNUMBER('Raw Data &amp; Analysis Setup'!B58),'Raw Data &amp; Analysis Setup'!B58&gt;0),'Raw Data &amp; Analysis Setup'!B58,"")</f>
        <v>21.004999160766602</v>
      </c>
      <c r="C58" s="65" t="s">
        <v>24</v>
      </c>
      <c r="D58" s="20">
        <v>93</v>
      </c>
      <c r="E58" s="20" t="s">
        <v>32</v>
      </c>
      <c r="F58" s="159"/>
      <c r="G58" s="159"/>
      <c r="H58" s="157"/>
      <c r="I58" s="158"/>
      <c r="J58" s="157"/>
      <c r="K58" s="157"/>
    </row>
    <row r="59" spans="1:11" ht="15" customHeight="1" x14ac:dyDescent="0.25">
      <c r="A59" s="15">
        <f>'Raw Data &amp; Analysis Setup'!A59</f>
        <v>58</v>
      </c>
      <c r="B59" s="64">
        <f>IF(AND(ISNUMBER('Raw Data &amp; Analysis Setup'!B59),'Raw Data &amp; Analysis Setup'!B59&gt;0),'Raw Data &amp; Analysis Setup'!B59,"")</f>
        <v>23.975000381469727</v>
      </c>
      <c r="C59" s="65" t="s">
        <v>24</v>
      </c>
      <c r="D59" s="20">
        <v>94</v>
      </c>
      <c r="E59" s="20" t="s">
        <v>33</v>
      </c>
      <c r="F59" s="159">
        <v>200</v>
      </c>
      <c r="G59" s="160" t="s">
        <v>54</v>
      </c>
      <c r="H59" s="157">
        <f t="shared" ref="H59" si="50">IF(SUM(B59:B61)&gt;0,AVERAGE(B59:B61),"")</f>
        <v>24.001667022705078</v>
      </c>
      <c r="I59" s="158">
        <f t="shared" ref="I59" si="51">IF(SUM(B59:B61)&gt;0,STDEV(B59:B61),0)</f>
        <v>7.4661545657408915E-2</v>
      </c>
      <c r="J59" s="157">
        <f t="shared" ref="J59" si="52">IF(H59&lt;&gt;"",IF(VLOOKUP(D59,$A$2:$H$97,8,FALSE)&gt;0,VLOOKUP(D59,$A$2:$H$97,8,FALSE),""),"")</f>
        <v>19.196000417073567</v>
      </c>
      <c r="K59" s="157">
        <f>IF(ISNUMBER(H59),H59-J59,"")</f>
        <v>4.8056666056315116</v>
      </c>
    </row>
    <row r="60" spans="1:11" ht="15" customHeight="1" x14ac:dyDescent="0.25">
      <c r="A60" s="15">
        <f>'Raw Data &amp; Analysis Setup'!A60</f>
        <v>59</v>
      </c>
      <c r="B60" s="64">
        <f>IF(AND(ISNUMBER('Raw Data &amp; Analysis Setup'!B60),'Raw Data &amp; Analysis Setup'!B60&gt;0),'Raw Data &amp; Analysis Setup'!B60,"")</f>
        <v>23.944000244140625</v>
      </c>
      <c r="C60" s="65" t="s">
        <v>24</v>
      </c>
      <c r="D60" s="20">
        <v>95</v>
      </c>
      <c r="E60" s="20" t="s">
        <v>33</v>
      </c>
      <c r="F60" s="159"/>
      <c r="G60" s="159"/>
      <c r="H60" s="157"/>
      <c r="I60" s="158"/>
      <c r="J60" s="157"/>
      <c r="K60" s="157"/>
    </row>
    <row r="61" spans="1:11" ht="15" customHeight="1" x14ac:dyDescent="0.25">
      <c r="A61" s="15">
        <f>'Raw Data &amp; Analysis Setup'!A61</f>
        <v>60</v>
      </c>
      <c r="B61" s="64">
        <f>IF(AND(ISNUMBER('Raw Data &amp; Analysis Setup'!B61),'Raw Data &amp; Analysis Setup'!B61&gt;0),'Raw Data &amp; Analysis Setup'!B61,"")</f>
        <v>24.086000442504883</v>
      </c>
      <c r="C61" s="65" t="s">
        <v>24</v>
      </c>
      <c r="D61" s="20">
        <v>96</v>
      </c>
      <c r="E61" s="20" t="s">
        <v>33</v>
      </c>
      <c r="F61" s="159"/>
      <c r="G61" s="159"/>
      <c r="H61" s="157"/>
      <c r="I61" s="158"/>
      <c r="J61" s="157"/>
      <c r="K61" s="157"/>
    </row>
    <row r="62" spans="1:11" ht="15" customHeight="1" x14ac:dyDescent="0.25">
      <c r="A62" s="15">
        <f>'Raw Data &amp; Analysis Setup'!A62</f>
        <v>61</v>
      </c>
      <c r="B62" s="64">
        <f>IF(AND(ISNUMBER('Raw Data &amp; Analysis Setup'!B62),'Raw Data &amp; Analysis Setup'!B62&gt;0),'Raw Data &amp; Analysis Setup'!B62,"")</f>
        <v>21.302000045776367</v>
      </c>
      <c r="C62" s="65" t="s">
        <v>25</v>
      </c>
      <c r="D62" s="20">
        <v>91</v>
      </c>
      <c r="E62" s="20" t="s">
        <v>32</v>
      </c>
      <c r="F62" s="159">
        <v>100</v>
      </c>
      <c r="G62" s="160" t="s">
        <v>56</v>
      </c>
      <c r="H62" s="157">
        <f t="shared" ref="H62" si="53">IF(SUM(B62:B64)&gt;0,AVERAGE(B62:B64),"")</f>
        <v>21.275999704996746</v>
      </c>
      <c r="I62" s="158">
        <f t="shared" ref="I62" si="54">IF(SUM(B62:B64)&gt;0,STDEV(B62:B64),0)</f>
        <v>2.7055934474581711E-2</v>
      </c>
      <c r="J62" s="157">
        <f t="shared" ref="J62" si="55">IF(H62&lt;&gt;"",IF(VLOOKUP(D62,$A$2:$H$97,8,FALSE)&gt;0,VLOOKUP(D62,$A$2:$H$97,8,FALSE),""),"")</f>
        <v>18.603333155314129</v>
      </c>
      <c r="K62" s="157">
        <f>IF(ISNUMBER(H62),H62-J62,"")</f>
        <v>2.6726665496826172</v>
      </c>
    </row>
    <row r="63" spans="1:11" ht="15" customHeight="1" x14ac:dyDescent="0.25">
      <c r="A63" s="15">
        <f>'Raw Data &amp; Analysis Setup'!A63</f>
        <v>62</v>
      </c>
      <c r="B63" s="64">
        <f>IF(AND(ISNUMBER('Raw Data &amp; Analysis Setup'!B63),'Raw Data &amp; Analysis Setup'!B63&gt;0),'Raw Data &amp; Analysis Setup'!B63,"")</f>
        <v>21.277999877929688</v>
      </c>
      <c r="C63" s="65" t="s">
        <v>25</v>
      </c>
      <c r="D63" s="20">
        <v>92</v>
      </c>
      <c r="E63" s="20" t="s">
        <v>32</v>
      </c>
      <c r="F63" s="159"/>
      <c r="G63" s="159"/>
      <c r="H63" s="157"/>
      <c r="I63" s="158"/>
      <c r="J63" s="157"/>
      <c r="K63" s="157"/>
    </row>
    <row r="64" spans="1:11" ht="15" customHeight="1" x14ac:dyDescent="0.25">
      <c r="A64" s="15">
        <f>'Raw Data &amp; Analysis Setup'!A64</f>
        <v>63</v>
      </c>
      <c r="B64" s="64">
        <f>IF(AND(ISNUMBER('Raw Data &amp; Analysis Setup'!B64),'Raw Data &amp; Analysis Setup'!B64&gt;0),'Raw Data &amp; Analysis Setup'!B64,"")</f>
        <v>21.24799919128418</v>
      </c>
      <c r="C64" s="65" t="s">
        <v>25</v>
      </c>
      <c r="D64" s="20">
        <v>93</v>
      </c>
      <c r="E64" s="20" t="s">
        <v>32</v>
      </c>
      <c r="F64" s="159"/>
      <c r="G64" s="159"/>
      <c r="H64" s="157"/>
      <c r="I64" s="158"/>
      <c r="J64" s="157"/>
      <c r="K64" s="157"/>
    </row>
    <row r="65" spans="1:11" ht="15" customHeight="1" x14ac:dyDescent="0.25">
      <c r="A65" s="15">
        <f>'Raw Data &amp; Analysis Setup'!A65</f>
        <v>64</v>
      </c>
      <c r="B65" s="64">
        <f>IF(AND(ISNUMBER('Raw Data &amp; Analysis Setup'!B65),'Raw Data &amp; Analysis Setup'!B65&gt;0),'Raw Data &amp; Analysis Setup'!B65,"")</f>
        <v>25.153999328613281</v>
      </c>
      <c r="C65" s="65" t="s">
        <v>25</v>
      </c>
      <c r="D65" s="20">
        <v>94</v>
      </c>
      <c r="E65" s="20" t="s">
        <v>33</v>
      </c>
      <c r="F65" s="159">
        <v>200</v>
      </c>
      <c r="G65" s="160" t="s">
        <v>58</v>
      </c>
      <c r="H65" s="157">
        <f t="shared" ref="H65" si="56">IF(SUM(B65:B67)&gt;0,AVERAGE(B65:B67),"")</f>
        <v>25.223666508992512</v>
      </c>
      <c r="I65" s="158">
        <f t="shared" ref="I65" si="57">IF(SUM(B65:B67)&gt;0,STDEV(B65:B67),0)</f>
        <v>6.8530317184718872E-2</v>
      </c>
      <c r="J65" s="157">
        <f t="shared" ref="J65" si="58">IF(H65&lt;&gt;"",IF(VLOOKUP(D65,$A$2:$H$97,8,FALSE)&gt;0,VLOOKUP(D65,$A$2:$H$97,8,FALSE),""),"")</f>
        <v>19.196000417073567</v>
      </c>
      <c r="K65" s="157">
        <f>IF(ISNUMBER(H65),H65-J65,"")</f>
        <v>6.0276660919189453</v>
      </c>
    </row>
    <row r="66" spans="1:11" ht="15" customHeight="1" x14ac:dyDescent="0.25">
      <c r="A66" s="15">
        <f>'Raw Data &amp; Analysis Setup'!A66</f>
        <v>65</v>
      </c>
      <c r="B66" s="64">
        <f>IF(AND(ISNUMBER('Raw Data &amp; Analysis Setup'!B66),'Raw Data &amp; Analysis Setup'!B66&gt;0),'Raw Data &amp; Analysis Setup'!B66,"")</f>
        <v>25.291000366210938</v>
      </c>
      <c r="C66" s="65" t="s">
        <v>25</v>
      </c>
      <c r="D66" s="20">
        <v>95</v>
      </c>
      <c r="E66" s="20" t="s">
        <v>33</v>
      </c>
      <c r="F66" s="159"/>
      <c r="G66" s="159"/>
      <c r="H66" s="157"/>
      <c r="I66" s="158"/>
      <c r="J66" s="157"/>
      <c r="K66" s="157"/>
    </row>
    <row r="67" spans="1:11" ht="15" customHeight="1" x14ac:dyDescent="0.25">
      <c r="A67" s="15">
        <f>'Raw Data &amp; Analysis Setup'!A67</f>
        <v>66</v>
      </c>
      <c r="B67" s="64">
        <f>IF(AND(ISNUMBER('Raw Data &amp; Analysis Setup'!B67),'Raw Data &amp; Analysis Setup'!B67&gt;0),'Raw Data &amp; Analysis Setup'!B67,"")</f>
        <v>25.22599983215332</v>
      </c>
      <c r="C67" s="65" t="s">
        <v>25</v>
      </c>
      <c r="D67" s="20">
        <v>96</v>
      </c>
      <c r="E67" s="20" t="s">
        <v>33</v>
      </c>
      <c r="F67" s="159"/>
      <c r="G67" s="159"/>
      <c r="H67" s="157"/>
      <c r="I67" s="158"/>
      <c r="J67" s="157"/>
      <c r="K67" s="157"/>
    </row>
    <row r="68" spans="1:11" ht="15" customHeight="1" x14ac:dyDescent="0.25">
      <c r="A68" s="15">
        <f>'Raw Data &amp; Analysis Setup'!A68</f>
        <v>67</v>
      </c>
      <c r="B68" s="64">
        <f>IF(AND(ISNUMBER('Raw Data &amp; Analysis Setup'!B68),'Raw Data &amp; Analysis Setup'!B68&gt;0),'Raw Data &amp; Analysis Setup'!B68,"")</f>
        <v>17.583999633789063</v>
      </c>
      <c r="C68" s="65" t="s">
        <v>26</v>
      </c>
      <c r="D68" s="20">
        <v>91</v>
      </c>
      <c r="E68" s="20" t="s">
        <v>32</v>
      </c>
      <c r="F68" s="159">
        <v>100</v>
      </c>
      <c r="G68" s="160" t="s">
        <v>60</v>
      </c>
      <c r="H68" s="157">
        <f t="shared" ref="H68" si="59">IF(SUM(B68:B70)&gt;0,AVERAGE(B68:B70),"")</f>
        <v>17.539666493733723</v>
      </c>
      <c r="I68" s="158">
        <f t="shared" ref="I68" si="60">IF(SUM(B68:B70)&gt;0,STDEV(B68:B70),0)</f>
        <v>3.9323096962696952E-2</v>
      </c>
      <c r="J68" s="157">
        <f t="shared" ref="J68" si="61">IF(H68&lt;&gt;"",IF(VLOOKUP(D68,$A$2:$H$97,8,FALSE)&gt;0,VLOOKUP(D68,$A$2:$H$97,8,FALSE),""),"")</f>
        <v>18.603333155314129</v>
      </c>
      <c r="K68" s="157">
        <f>IF(ISNUMBER(H68),H68-J68,"")</f>
        <v>-1.063666661580406</v>
      </c>
    </row>
    <row r="69" spans="1:11" ht="15" customHeight="1" x14ac:dyDescent="0.25">
      <c r="A69" s="15">
        <f>'Raw Data &amp; Analysis Setup'!A69</f>
        <v>68</v>
      </c>
      <c r="B69" s="64">
        <f>IF(AND(ISNUMBER('Raw Data &amp; Analysis Setup'!B69),'Raw Data &amp; Analysis Setup'!B69&gt;0),'Raw Data &amp; Analysis Setup'!B69,"")</f>
        <v>17.525999069213867</v>
      </c>
      <c r="C69" s="65" t="s">
        <v>26</v>
      </c>
      <c r="D69" s="20">
        <v>92</v>
      </c>
      <c r="E69" s="20" t="s">
        <v>32</v>
      </c>
      <c r="F69" s="159"/>
      <c r="G69" s="159"/>
      <c r="H69" s="157"/>
      <c r="I69" s="158"/>
      <c r="J69" s="157"/>
      <c r="K69" s="157"/>
    </row>
    <row r="70" spans="1:11" ht="15" customHeight="1" x14ac:dyDescent="0.25">
      <c r="A70" s="15">
        <f>'Raw Data &amp; Analysis Setup'!A70</f>
        <v>69</v>
      </c>
      <c r="B70" s="64">
        <f>IF(AND(ISNUMBER('Raw Data &amp; Analysis Setup'!B70),'Raw Data &amp; Analysis Setup'!B70&gt;0),'Raw Data &amp; Analysis Setup'!B70,"")</f>
        <v>17.509000778198242</v>
      </c>
      <c r="C70" s="65" t="s">
        <v>26</v>
      </c>
      <c r="D70" s="20">
        <v>93</v>
      </c>
      <c r="E70" s="20" t="s">
        <v>32</v>
      </c>
      <c r="F70" s="159"/>
      <c r="G70" s="159"/>
      <c r="H70" s="157"/>
      <c r="I70" s="158"/>
      <c r="J70" s="157"/>
      <c r="K70" s="157"/>
    </row>
    <row r="71" spans="1:11" ht="15" customHeight="1" x14ac:dyDescent="0.25">
      <c r="A71" s="15">
        <f>'Raw Data &amp; Analysis Setup'!A71</f>
        <v>70</v>
      </c>
      <c r="B71" s="64">
        <f>IF(AND(ISNUMBER('Raw Data &amp; Analysis Setup'!B71),'Raw Data &amp; Analysis Setup'!B71&gt;0),'Raw Data &amp; Analysis Setup'!B71,"")</f>
        <v>20.003999710083008</v>
      </c>
      <c r="C71" s="65" t="s">
        <v>26</v>
      </c>
      <c r="D71" s="20">
        <v>94</v>
      </c>
      <c r="E71" s="20" t="s">
        <v>33</v>
      </c>
      <c r="F71" s="159">
        <v>200</v>
      </c>
      <c r="G71" s="160" t="s">
        <v>62</v>
      </c>
      <c r="H71" s="157">
        <f t="shared" ref="H71" si="62">IF(SUM(B71:B73)&gt;0,AVERAGE(B71:B73),"")</f>
        <v>20.086000442504883</v>
      </c>
      <c r="I71" s="158">
        <f t="shared" ref="I71" si="63">IF(SUM(B71:B73)&gt;0,STDEV(B71:B73),0)</f>
        <v>7.1358879342712456E-2</v>
      </c>
      <c r="J71" s="157">
        <f t="shared" ref="J71" si="64">IF(H71&lt;&gt;"",IF(VLOOKUP(D71,$A$2:$H$97,8,FALSE)&gt;0,VLOOKUP(D71,$A$2:$H$97,8,FALSE),""),"")</f>
        <v>19.196000417073567</v>
      </c>
      <c r="K71" s="157">
        <f>IF(ISNUMBER(H71),H71-J71,"")</f>
        <v>0.89000002543131629</v>
      </c>
    </row>
    <row r="72" spans="1:11" ht="15" customHeight="1" x14ac:dyDescent="0.25">
      <c r="A72" s="15">
        <f>'Raw Data &amp; Analysis Setup'!A72</f>
        <v>71</v>
      </c>
      <c r="B72" s="64">
        <f>IF(AND(ISNUMBER('Raw Data &amp; Analysis Setup'!B72),'Raw Data &amp; Analysis Setup'!B72&gt;0),'Raw Data &amp; Analysis Setup'!B72,"")</f>
        <v>20.134000778198242</v>
      </c>
      <c r="C72" s="65" t="s">
        <v>26</v>
      </c>
      <c r="D72" s="20">
        <v>95</v>
      </c>
      <c r="E72" s="20" t="s">
        <v>33</v>
      </c>
      <c r="F72" s="159"/>
      <c r="G72" s="159"/>
      <c r="H72" s="157"/>
      <c r="I72" s="158"/>
      <c r="J72" s="157"/>
      <c r="K72" s="157"/>
    </row>
    <row r="73" spans="1:11" ht="15" customHeight="1" x14ac:dyDescent="0.25">
      <c r="A73" s="15">
        <f>'Raw Data &amp; Analysis Setup'!A73</f>
        <v>72</v>
      </c>
      <c r="B73" s="64">
        <f>IF(AND(ISNUMBER('Raw Data &amp; Analysis Setup'!B73),'Raw Data &amp; Analysis Setup'!B73&gt;0),'Raw Data &amp; Analysis Setup'!B73,"")</f>
        <v>20.120000839233398</v>
      </c>
      <c r="C73" s="65" t="s">
        <v>26</v>
      </c>
      <c r="D73" s="20">
        <v>96</v>
      </c>
      <c r="E73" s="20" t="s">
        <v>33</v>
      </c>
      <c r="F73" s="159"/>
      <c r="G73" s="159"/>
      <c r="H73" s="157"/>
      <c r="I73" s="158"/>
      <c r="J73" s="157"/>
      <c r="K73" s="157"/>
    </row>
    <row r="74" spans="1:11" ht="15" customHeight="1" x14ac:dyDescent="0.25">
      <c r="A74" s="15">
        <f>'Raw Data &amp; Analysis Setup'!A74</f>
        <v>73</v>
      </c>
      <c r="B74" s="64">
        <f>IF(AND(ISNUMBER('Raw Data &amp; Analysis Setup'!B74),'Raw Data &amp; Analysis Setup'!B74&gt;0),'Raw Data &amp; Analysis Setup'!B74,"")</f>
        <v>18.892000198364258</v>
      </c>
      <c r="C74" s="65" t="s">
        <v>27</v>
      </c>
      <c r="D74" s="20">
        <v>91</v>
      </c>
      <c r="E74" s="20" t="s">
        <v>32</v>
      </c>
      <c r="F74" s="159">
        <v>100</v>
      </c>
      <c r="G74" s="160" t="s">
        <v>64</v>
      </c>
      <c r="H74" s="157">
        <f t="shared" ref="H74" si="65">IF(SUM(B74:B76)&gt;0,AVERAGE(B74:B76),"")</f>
        <v>18.857333501180012</v>
      </c>
      <c r="I74" s="158">
        <f t="shared" ref="I74" si="66">IF(SUM(B74:B76)&gt;0,STDEV(B74:B76),0)</f>
        <v>4.3154877298762544E-2</v>
      </c>
      <c r="J74" s="157">
        <f t="shared" ref="J74" si="67">IF(H74&lt;&gt;"",IF(VLOOKUP(D74,$A$2:$H$97,8,FALSE)&gt;0,VLOOKUP(D74,$A$2:$H$97,8,FALSE),""),"")</f>
        <v>18.603333155314129</v>
      </c>
      <c r="K74" s="157">
        <f>IF(ISNUMBER(H74),H74-J74,"")</f>
        <v>0.25400034586588305</v>
      </c>
    </row>
    <row r="75" spans="1:11" ht="15" customHeight="1" x14ac:dyDescent="0.25">
      <c r="A75" s="15">
        <f>'Raw Data &amp; Analysis Setup'!A75</f>
        <v>74</v>
      </c>
      <c r="B75" s="64">
        <f>IF(AND(ISNUMBER('Raw Data &amp; Analysis Setup'!B75),'Raw Data &amp; Analysis Setup'!B75&gt;0),'Raw Data &amp; Analysis Setup'!B75,"")</f>
        <v>18.871000289916992</v>
      </c>
      <c r="C75" s="65" t="s">
        <v>27</v>
      </c>
      <c r="D75" s="20">
        <v>92</v>
      </c>
      <c r="E75" s="20" t="s">
        <v>32</v>
      </c>
      <c r="F75" s="159"/>
      <c r="G75" s="159"/>
      <c r="H75" s="157"/>
      <c r="I75" s="158"/>
      <c r="J75" s="157"/>
      <c r="K75" s="157"/>
    </row>
    <row r="76" spans="1:11" ht="15" customHeight="1" x14ac:dyDescent="0.25">
      <c r="A76" s="15">
        <f>'Raw Data &amp; Analysis Setup'!A76</f>
        <v>75</v>
      </c>
      <c r="B76" s="64">
        <f>IF(AND(ISNUMBER('Raw Data &amp; Analysis Setup'!B76),'Raw Data &amp; Analysis Setup'!B76&gt;0),'Raw Data &amp; Analysis Setup'!B76,"")</f>
        <v>18.809000015258789</v>
      </c>
      <c r="C76" s="65" t="s">
        <v>27</v>
      </c>
      <c r="D76" s="20">
        <v>93</v>
      </c>
      <c r="E76" s="20" t="s">
        <v>32</v>
      </c>
      <c r="F76" s="159"/>
      <c r="G76" s="159"/>
      <c r="H76" s="157"/>
      <c r="I76" s="158"/>
      <c r="J76" s="157"/>
      <c r="K76" s="157"/>
    </row>
    <row r="77" spans="1:11" ht="15" customHeight="1" x14ac:dyDescent="0.25">
      <c r="A77" s="15">
        <f>'Raw Data &amp; Analysis Setup'!A77</f>
        <v>76</v>
      </c>
      <c r="B77" s="64">
        <f>IF(AND(ISNUMBER('Raw Data &amp; Analysis Setup'!B77),'Raw Data &amp; Analysis Setup'!B77&gt;0),'Raw Data &amp; Analysis Setup'!B77,"")</f>
        <v>21.336000442504883</v>
      </c>
      <c r="C77" s="65" t="s">
        <v>27</v>
      </c>
      <c r="D77" s="20">
        <v>94</v>
      </c>
      <c r="E77" s="20" t="s">
        <v>33</v>
      </c>
      <c r="F77" s="159">
        <v>200</v>
      </c>
      <c r="G77" s="160" t="s">
        <v>66</v>
      </c>
      <c r="H77" s="157">
        <f t="shared" ref="H77" si="68">IF(SUM(B77:B79)&gt;0,AVERAGE(B77:B79),"")</f>
        <v>21.353333155314129</v>
      </c>
      <c r="I77" s="158">
        <f t="shared" ref="I77" si="69">IF(SUM(B77:B79)&gt;0,STDEV(B77:B79),0)</f>
        <v>2.5813046212900891E-2</v>
      </c>
      <c r="J77" s="157">
        <f t="shared" ref="J77" si="70">IF(H77&lt;&gt;"",IF(VLOOKUP(D77,$A$2:$H$97,8,FALSE)&gt;0,VLOOKUP(D77,$A$2:$H$97,8,FALSE),""),"")</f>
        <v>19.196000417073567</v>
      </c>
      <c r="K77" s="157">
        <f>IF(ISNUMBER(H77),H77-J77,"")</f>
        <v>2.1573327382405623</v>
      </c>
    </row>
    <row r="78" spans="1:11" ht="15" customHeight="1" x14ac:dyDescent="0.25">
      <c r="A78" s="15">
        <f>'Raw Data &amp; Analysis Setup'!A78</f>
        <v>77</v>
      </c>
      <c r="B78" s="64">
        <f>IF(AND(ISNUMBER('Raw Data &amp; Analysis Setup'!B78),'Raw Data &amp; Analysis Setup'!B78&gt;0),'Raw Data &amp; Analysis Setup'!B78,"")</f>
        <v>21.382999420166016</v>
      </c>
      <c r="C78" s="65" t="s">
        <v>27</v>
      </c>
      <c r="D78" s="20">
        <v>95</v>
      </c>
      <c r="E78" s="20" t="s">
        <v>33</v>
      </c>
      <c r="F78" s="159"/>
      <c r="G78" s="159"/>
      <c r="H78" s="157"/>
      <c r="I78" s="158"/>
      <c r="J78" s="157"/>
      <c r="K78" s="157"/>
    </row>
    <row r="79" spans="1:11" ht="15" customHeight="1" x14ac:dyDescent="0.25">
      <c r="A79" s="15">
        <f>'Raw Data &amp; Analysis Setup'!A79</f>
        <v>78</v>
      </c>
      <c r="B79" s="64">
        <f>IF(AND(ISNUMBER('Raw Data &amp; Analysis Setup'!B79),'Raw Data &amp; Analysis Setup'!B79&gt;0),'Raw Data &amp; Analysis Setup'!B79,"")</f>
        <v>21.340999603271484</v>
      </c>
      <c r="C79" s="65" t="s">
        <v>27</v>
      </c>
      <c r="D79" s="20">
        <v>96</v>
      </c>
      <c r="E79" s="20" t="s">
        <v>33</v>
      </c>
      <c r="F79" s="159"/>
      <c r="G79" s="159"/>
      <c r="H79" s="157"/>
      <c r="I79" s="158"/>
      <c r="J79" s="157"/>
      <c r="K79" s="157"/>
    </row>
    <row r="80" spans="1:11" ht="15" customHeight="1" x14ac:dyDescent="0.25">
      <c r="A80" s="15">
        <f>'Raw Data &amp; Analysis Setup'!A80</f>
        <v>79</v>
      </c>
      <c r="B80" s="64">
        <f>IF(AND(ISNUMBER('Raw Data &amp; Analysis Setup'!B80),'Raw Data &amp; Analysis Setup'!B80&gt;0),'Raw Data &amp; Analysis Setup'!B80,"")</f>
        <v>18.86400032043457</v>
      </c>
      <c r="C80" s="65" t="s">
        <v>28</v>
      </c>
      <c r="D80" s="20">
        <v>91</v>
      </c>
      <c r="E80" s="20" t="s">
        <v>32</v>
      </c>
      <c r="F80" s="159">
        <v>100</v>
      </c>
      <c r="G80" s="160" t="s">
        <v>68</v>
      </c>
      <c r="H80" s="157">
        <f t="shared" ref="H80" si="71">IF(SUM(B80:B82)&gt;0,AVERAGE(B80:B82),"")</f>
        <v>18.845000584920246</v>
      </c>
      <c r="I80" s="158">
        <f t="shared" ref="I80" si="72">IF(SUM(B80:B82)&gt;0,STDEV(B80:B82),0)</f>
        <v>1.6822376627557031E-2</v>
      </c>
      <c r="J80" s="157">
        <f t="shared" ref="J80" si="73">IF(H80&lt;&gt;"",IF(VLOOKUP(D80,$A$2:$H$97,8,FALSE)&gt;0,VLOOKUP(D80,$A$2:$H$97,8,FALSE),""),"")</f>
        <v>18.603333155314129</v>
      </c>
      <c r="K80" s="157">
        <f>IF(ISNUMBER(H80),H80-J80,"")</f>
        <v>0.24166742960611742</v>
      </c>
    </row>
    <row r="81" spans="1:11" ht="15" customHeight="1" x14ac:dyDescent="0.25">
      <c r="A81" s="15">
        <f>'Raw Data &amp; Analysis Setup'!A81</f>
        <v>80</v>
      </c>
      <c r="B81" s="64">
        <f>IF(AND(ISNUMBER('Raw Data &amp; Analysis Setup'!B81),'Raw Data &amp; Analysis Setup'!B81&gt;0),'Raw Data &amp; Analysis Setup'!B81,"")</f>
        <v>18.832000732421875</v>
      </c>
      <c r="C81" s="65" t="s">
        <v>28</v>
      </c>
      <c r="D81" s="20">
        <v>92</v>
      </c>
      <c r="E81" s="20" t="s">
        <v>32</v>
      </c>
      <c r="F81" s="159"/>
      <c r="G81" s="159"/>
      <c r="H81" s="157"/>
      <c r="I81" s="158"/>
      <c r="J81" s="157"/>
      <c r="K81" s="157"/>
    </row>
    <row r="82" spans="1:11" ht="15" customHeight="1" x14ac:dyDescent="0.25">
      <c r="A82" s="15">
        <f>'Raw Data &amp; Analysis Setup'!A82</f>
        <v>81</v>
      </c>
      <c r="B82" s="64">
        <f>IF(AND(ISNUMBER('Raw Data &amp; Analysis Setup'!B82),'Raw Data &amp; Analysis Setup'!B82&gt;0),'Raw Data &amp; Analysis Setup'!B82,"")</f>
        <v>18.839000701904297</v>
      </c>
      <c r="C82" s="65" t="s">
        <v>28</v>
      </c>
      <c r="D82" s="20">
        <v>93</v>
      </c>
      <c r="E82" s="20" t="s">
        <v>32</v>
      </c>
      <c r="F82" s="159"/>
      <c r="G82" s="159"/>
      <c r="H82" s="157"/>
      <c r="I82" s="158"/>
      <c r="J82" s="157"/>
      <c r="K82" s="157"/>
    </row>
    <row r="83" spans="1:11" ht="15" customHeight="1" x14ac:dyDescent="0.25">
      <c r="A83" s="15">
        <f>'Raw Data &amp; Analysis Setup'!A83</f>
        <v>82</v>
      </c>
      <c r="B83" s="64">
        <f>IF(AND(ISNUMBER('Raw Data &amp; Analysis Setup'!B83),'Raw Data &amp; Analysis Setup'!B83&gt;0),'Raw Data &amp; Analysis Setup'!B83,"")</f>
        <v>21.260000228881836</v>
      </c>
      <c r="C83" s="65" t="s">
        <v>28</v>
      </c>
      <c r="D83" s="20">
        <v>94</v>
      </c>
      <c r="E83" s="20" t="s">
        <v>33</v>
      </c>
      <c r="F83" s="159">
        <v>200</v>
      </c>
      <c r="G83" s="160" t="s">
        <v>70</v>
      </c>
      <c r="H83" s="157">
        <f t="shared" ref="H83" si="74">IF(SUM(B83:B85)&gt;0,AVERAGE(B83:B85),"")</f>
        <v>21.293000539143879</v>
      </c>
      <c r="I83" s="158">
        <f t="shared" ref="I83" si="75">IF(SUM(B83:B85)&gt;0,STDEV(B83:B85),0)</f>
        <v>2.9816388851593292E-2</v>
      </c>
      <c r="J83" s="157">
        <f t="shared" ref="J83" si="76">IF(H83&lt;&gt;"",IF(VLOOKUP(D83,$A$2:$H$97,8,FALSE)&gt;0,VLOOKUP(D83,$A$2:$H$97,8,FALSE),""),"")</f>
        <v>19.196000417073567</v>
      </c>
      <c r="K83" s="157">
        <f>IF(ISNUMBER(H83),H83-J83,"")</f>
        <v>2.0970001220703125</v>
      </c>
    </row>
    <row r="84" spans="1:11" ht="15" customHeight="1" x14ac:dyDescent="0.25">
      <c r="A84" s="15">
        <f>'Raw Data &amp; Analysis Setup'!A84</f>
        <v>83</v>
      </c>
      <c r="B84" s="64">
        <f>IF(AND(ISNUMBER('Raw Data &amp; Analysis Setup'!B84),'Raw Data &amp; Analysis Setup'!B84&gt;0),'Raw Data &amp; Analysis Setup'!B84,"")</f>
        <v>21.301000595092773</v>
      </c>
      <c r="C84" s="65" t="s">
        <v>28</v>
      </c>
      <c r="D84" s="20">
        <v>95</v>
      </c>
      <c r="E84" s="20" t="s">
        <v>33</v>
      </c>
      <c r="F84" s="159"/>
      <c r="G84" s="159"/>
      <c r="H84" s="157"/>
      <c r="I84" s="158"/>
      <c r="J84" s="157"/>
      <c r="K84" s="157"/>
    </row>
    <row r="85" spans="1:11" ht="15" customHeight="1" x14ac:dyDescent="0.25">
      <c r="A85" s="15">
        <f>'Raw Data &amp; Analysis Setup'!A85</f>
        <v>84</v>
      </c>
      <c r="B85" s="64">
        <f>IF(AND(ISNUMBER('Raw Data &amp; Analysis Setup'!B85),'Raw Data &amp; Analysis Setup'!B85&gt;0),'Raw Data &amp; Analysis Setup'!B85,"")</f>
        <v>21.318000793457031</v>
      </c>
      <c r="C85" s="65" t="s">
        <v>28</v>
      </c>
      <c r="D85" s="20">
        <v>96</v>
      </c>
      <c r="E85" s="20" t="s">
        <v>33</v>
      </c>
      <c r="F85" s="159"/>
      <c r="G85" s="159"/>
      <c r="H85" s="157"/>
      <c r="I85" s="158"/>
      <c r="J85" s="157"/>
      <c r="K85" s="157"/>
    </row>
    <row r="86" spans="1:11" ht="15" customHeight="1" x14ac:dyDescent="0.25">
      <c r="A86" s="15">
        <f>'Raw Data &amp; Analysis Setup'!A86</f>
        <v>85</v>
      </c>
      <c r="B86" s="64">
        <f>IF(AND(ISNUMBER('Raw Data &amp; Analysis Setup'!B86),'Raw Data &amp; Analysis Setup'!B86&gt;0),'Raw Data &amp; Analysis Setup'!B86,"")</f>
        <v>16.680000305175781</v>
      </c>
      <c r="C86" s="65" t="s">
        <v>29</v>
      </c>
      <c r="D86" s="20">
        <v>91</v>
      </c>
      <c r="E86" s="20" t="s">
        <v>32</v>
      </c>
      <c r="F86" s="159">
        <v>100</v>
      </c>
      <c r="G86" s="160" t="s">
        <v>72</v>
      </c>
      <c r="H86" s="157">
        <f t="shared" ref="H86" si="77">IF(SUM(B86:B88)&gt;0,AVERAGE(B86:B88),"")</f>
        <v>16.668333689371746</v>
      </c>
      <c r="I86" s="158">
        <f t="shared" ref="I86" si="78">IF(SUM(B86:B88)&gt;0,STDEV(B86:B88),0)</f>
        <v>1.2582840128351725E-2</v>
      </c>
      <c r="J86" s="157">
        <f t="shared" ref="J86" si="79">IF(H86&lt;&gt;"",IF(VLOOKUP(D86,$A$2:$H$97,8,FALSE)&gt;0,VLOOKUP(D86,$A$2:$H$97,8,FALSE),""),"")</f>
        <v>18.603333155314129</v>
      </c>
      <c r="K86" s="157">
        <f>IF(ISNUMBER(H86),H86-J86,"")</f>
        <v>-1.9349994659423828</v>
      </c>
    </row>
    <row r="87" spans="1:11" ht="15" customHeight="1" x14ac:dyDescent="0.25">
      <c r="A87" s="15">
        <f>'Raw Data &amp; Analysis Setup'!A87</f>
        <v>86</v>
      </c>
      <c r="B87" s="64">
        <f>IF(AND(ISNUMBER('Raw Data &amp; Analysis Setup'!B87),'Raw Data &amp; Analysis Setup'!B87&gt;0),'Raw Data &amp; Analysis Setup'!B87,"")</f>
        <v>16.670000076293945</v>
      </c>
      <c r="C87" s="65" t="s">
        <v>29</v>
      </c>
      <c r="D87" s="20">
        <v>92</v>
      </c>
      <c r="E87" s="20" t="s">
        <v>32</v>
      </c>
      <c r="F87" s="159"/>
      <c r="G87" s="159"/>
      <c r="H87" s="157"/>
      <c r="I87" s="158"/>
      <c r="J87" s="157"/>
      <c r="K87" s="157"/>
    </row>
    <row r="88" spans="1:11" ht="15" customHeight="1" x14ac:dyDescent="0.25">
      <c r="A88" s="15">
        <f>'Raw Data &amp; Analysis Setup'!A88</f>
        <v>87</v>
      </c>
      <c r="B88" s="64">
        <f>IF(AND(ISNUMBER('Raw Data &amp; Analysis Setup'!B88),'Raw Data &amp; Analysis Setup'!B88&gt;0),'Raw Data &amp; Analysis Setup'!B88,"")</f>
        <v>16.655000686645508</v>
      </c>
      <c r="C88" s="65" t="s">
        <v>29</v>
      </c>
      <c r="D88" s="20">
        <v>93</v>
      </c>
      <c r="E88" s="20" t="s">
        <v>32</v>
      </c>
      <c r="F88" s="159"/>
      <c r="G88" s="159"/>
      <c r="H88" s="157"/>
      <c r="I88" s="158"/>
      <c r="J88" s="157"/>
      <c r="K88" s="157"/>
    </row>
    <row r="89" spans="1:11" ht="15" customHeight="1" x14ac:dyDescent="0.25">
      <c r="A89" s="15">
        <f>'Raw Data &amp; Analysis Setup'!A89</f>
        <v>88</v>
      </c>
      <c r="B89" s="64">
        <f>IF(AND(ISNUMBER('Raw Data &amp; Analysis Setup'!B89),'Raw Data &amp; Analysis Setup'!B89&gt;0),'Raw Data &amp; Analysis Setup'!B89,"")</f>
        <v>17.135000228881836</v>
      </c>
      <c r="C89" s="65" t="s">
        <v>29</v>
      </c>
      <c r="D89" s="20">
        <v>94</v>
      </c>
      <c r="E89" s="20" t="s">
        <v>33</v>
      </c>
      <c r="F89" s="159">
        <v>200</v>
      </c>
      <c r="G89" s="160" t="s">
        <v>74</v>
      </c>
      <c r="H89" s="157">
        <f t="shared" ref="H89" si="80">IF(SUM(B89:B91)&gt;0,AVERAGE(B89:B91),"")</f>
        <v>17.142666498819988</v>
      </c>
      <c r="I89" s="158">
        <f t="shared" ref="I89" si="81">IF(SUM(B89:B91)&gt;0,STDEV(B89:B91),0)</f>
        <v>1.8717000314985938E-2</v>
      </c>
      <c r="J89" s="157">
        <f t="shared" ref="J89" si="82">IF(H89&lt;&gt;"",IF(VLOOKUP(D89,$A$2:$H$97,8,FALSE)&gt;0,VLOOKUP(D89,$A$2:$H$97,8,FALSE),""),"")</f>
        <v>19.196000417073567</v>
      </c>
      <c r="K89" s="157">
        <f>IF(ISNUMBER(H89),H89-J89,"")</f>
        <v>-2.0533339182535784</v>
      </c>
    </row>
    <row r="90" spans="1:11" ht="15" customHeight="1" x14ac:dyDescent="0.25">
      <c r="A90" s="15">
        <f>'Raw Data &amp; Analysis Setup'!A90</f>
        <v>89</v>
      </c>
      <c r="B90" s="64">
        <f>IF(AND(ISNUMBER('Raw Data &amp; Analysis Setup'!B90),'Raw Data &amp; Analysis Setup'!B90&gt;0),'Raw Data &amp; Analysis Setup'!B90,"")</f>
        <v>17.128999710083008</v>
      </c>
      <c r="C90" s="65" t="s">
        <v>29</v>
      </c>
      <c r="D90" s="20">
        <v>95</v>
      </c>
      <c r="E90" s="20" t="s">
        <v>33</v>
      </c>
      <c r="F90" s="159"/>
      <c r="G90" s="159"/>
      <c r="H90" s="157"/>
      <c r="I90" s="158"/>
      <c r="J90" s="157"/>
      <c r="K90" s="157"/>
    </row>
    <row r="91" spans="1:11" ht="15" customHeight="1" x14ac:dyDescent="0.25">
      <c r="A91" s="15">
        <f>'Raw Data &amp; Analysis Setup'!A91</f>
        <v>90</v>
      </c>
      <c r="B91" s="64">
        <f>IF(AND(ISNUMBER('Raw Data &amp; Analysis Setup'!B91),'Raw Data &amp; Analysis Setup'!B91&gt;0),'Raw Data &amp; Analysis Setup'!B91,"")</f>
        <v>17.163999557495117</v>
      </c>
      <c r="C91" s="65" t="s">
        <v>29</v>
      </c>
      <c r="D91" s="20">
        <v>96</v>
      </c>
      <c r="E91" s="20" t="s">
        <v>33</v>
      </c>
      <c r="F91" s="159"/>
      <c r="G91" s="159"/>
      <c r="H91" s="157"/>
      <c r="I91" s="158"/>
      <c r="J91" s="157"/>
      <c r="K91" s="157"/>
    </row>
    <row r="92" spans="1:11" ht="15" customHeight="1" x14ac:dyDescent="0.25">
      <c r="A92" s="15">
        <f>'Raw Data &amp; Analysis Setup'!A92</f>
        <v>91</v>
      </c>
      <c r="B92" s="64">
        <f>IF(AND(ISNUMBER('Raw Data &amp; Analysis Setup'!B92),'Raw Data &amp; Analysis Setup'!B92&gt;0),'Raw Data &amp; Analysis Setup'!B92,"")</f>
        <v>18.625999450683594</v>
      </c>
      <c r="C92" s="20" t="s">
        <v>4</v>
      </c>
      <c r="D92" s="20">
        <v>91</v>
      </c>
      <c r="E92" s="20" t="s">
        <v>32</v>
      </c>
      <c r="F92" s="159">
        <v>100</v>
      </c>
      <c r="G92" s="160" t="s">
        <v>76</v>
      </c>
      <c r="H92" s="157">
        <f t="shared" ref="H92" si="83">IF(SUM(B92:B94)&gt;0,AVERAGE(B92:B94),"")</f>
        <v>18.603333155314129</v>
      </c>
      <c r="I92" s="158">
        <f t="shared" ref="I92" si="84">IF(SUM(B92:B94)&gt;0,STDEV(B92:B94),0)</f>
        <v>1.9857405272706588E-2</v>
      </c>
      <c r="J92" s="157">
        <f t="shared" ref="J92" si="85">IF(H92&lt;&gt;"",IF(VLOOKUP(D92,$A$2:$H$97,8,FALSE)&gt;0,VLOOKUP(D92,$A$2:$H$97,8,FALSE),""),"")</f>
        <v>18.603333155314129</v>
      </c>
      <c r="K92" s="157">
        <f>IF(ISNUMBER(H92),H92-J92,"")</f>
        <v>0</v>
      </c>
    </row>
    <row r="93" spans="1:11" ht="15" customHeight="1" x14ac:dyDescent="0.25">
      <c r="A93" s="15">
        <f>'Raw Data &amp; Analysis Setup'!A93</f>
        <v>92</v>
      </c>
      <c r="B93" s="64">
        <f>IF(AND(ISNUMBER('Raw Data &amp; Analysis Setup'!B93),'Raw Data &amp; Analysis Setup'!B93&gt;0),'Raw Data &amp; Analysis Setup'!B93,"")</f>
        <v>18.589000701904297</v>
      </c>
      <c r="C93" s="20" t="s">
        <v>4</v>
      </c>
      <c r="D93" s="20">
        <v>92</v>
      </c>
      <c r="E93" s="20" t="s">
        <v>32</v>
      </c>
      <c r="F93" s="159"/>
      <c r="G93" s="159"/>
      <c r="H93" s="157"/>
      <c r="I93" s="158"/>
      <c r="J93" s="157"/>
      <c r="K93" s="157"/>
    </row>
    <row r="94" spans="1:11" ht="15" customHeight="1" x14ac:dyDescent="0.25">
      <c r="A94" s="15">
        <f>'Raw Data &amp; Analysis Setup'!A94</f>
        <v>93</v>
      </c>
      <c r="B94" s="64">
        <f>IF(AND(ISNUMBER('Raw Data &amp; Analysis Setup'!B94),'Raw Data &amp; Analysis Setup'!B94&gt;0),'Raw Data &amp; Analysis Setup'!B94,"")</f>
        <v>18.594999313354492</v>
      </c>
      <c r="C94" s="20" t="s">
        <v>4</v>
      </c>
      <c r="D94" s="20">
        <v>93</v>
      </c>
      <c r="E94" s="20" t="s">
        <v>32</v>
      </c>
      <c r="F94" s="159"/>
      <c r="G94" s="159"/>
      <c r="H94" s="157"/>
      <c r="I94" s="158"/>
      <c r="J94" s="157"/>
      <c r="K94" s="157"/>
    </row>
    <row r="95" spans="1:11" ht="15" customHeight="1" x14ac:dyDescent="0.25">
      <c r="A95" s="15">
        <f>'Raw Data &amp; Analysis Setup'!A95</f>
        <v>94</v>
      </c>
      <c r="B95" s="64">
        <f>IF(AND(ISNUMBER('Raw Data &amp; Analysis Setup'!B95),'Raw Data &amp; Analysis Setup'!B95&gt;0),'Raw Data &amp; Analysis Setup'!B95,"")</f>
        <v>19.169000625610352</v>
      </c>
      <c r="C95" s="20" t="s">
        <v>4</v>
      </c>
      <c r="D95" s="20">
        <v>94</v>
      </c>
      <c r="E95" s="20" t="s">
        <v>33</v>
      </c>
      <c r="F95" s="159">
        <v>200</v>
      </c>
      <c r="G95" s="159" t="s">
        <v>78</v>
      </c>
      <c r="H95" s="157">
        <f t="shared" ref="H95" si="86">IF(SUM(B95:B97)&gt;0,AVERAGE(B95:B97),"")</f>
        <v>19.196000417073567</v>
      </c>
      <c r="I95" s="158">
        <f t="shared" ref="I95" si="87">IF(SUM(B95:B97)&gt;0,STDEV(B95:B97),0)</f>
        <v>2.4879574763224915E-2</v>
      </c>
      <c r="J95" s="157">
        <f t="shared" ref="J95" si="88">IF(H95&lt;&gt;"",IF(VLOOKUP(D95,$A$2:$H$97,8,FALSE)&gt;0,VLOOKUP(D95,$A$2:$H$97,8,FALSE),""),"")</f>
        <v>19.196000417073567</v>
      </c>
      <c r="K95" s="157">
        <f>IF(ISNUMBER(H95),H95-J95,"")</f>
        <v>0</v>
      </c>
    </row>
    <row r="96" spans="1:11" ht="15" customHeight="1" x14ac:dyDescent="0.25">
      <c r="A96" s="15">
        <f>'Raw Data &amp; Analysis Setup'!A96</f>
        <v>95</v>
      </c>
      <c r="B96" s="64">
        <f>IF(AND(ISNUMBER('Raw Data &amp; Analysis Setup'!B96),'Raw Data &amp; Analysis Setup'!B96&gt;0),'Raw Data &amp; Analysis Setup'!B96,"")</f>
        <v>19.201000213623047</v>
      </c>
      <c r="C96" s="20" t="s">
        <v>4</v>
      </c>
      <c r="D96" s="20">
        <v>95</v>
      </c>
      <c r="E96" s="20" t="s">
        <v>33</v>
      </c>
      <c r="F96" s="159"/>
      <c r="G96" s="159"/>
      <c r="H96" s="157"/>
      <c r="I96" s="158"/>
      <c r="J96" s="157"/>
      <c r="K96" s="157"/>
    </row>
    <row r="97" spans="1:11" ht="15" customHeight="1" x14ac:dyDescent="0.25">
      <c r="A97" s="15">
        <f>'Raw Data &amp; Analysis Setup'!A97</f>
        <v>96</v>
      </c>
      <c r="B97" s="64">
        <f>IF(AND(ISNUMBER('Raw Data &amp; Analysis Setup'!B97),'Raw Data &amp; Analysis Setup'!B97&gt;0),'Raw Data &amp; Analysis Setup'!B97,"")</f>
        <v>19.218000411987305</v>
      </c>
      <c r="C97" s="20" t="s">
        <v>4</v>
      </c>
      <c r="D97" s="20">
        <v>96</v>
      </c>
      <c r="E97" s="20" t="s">
        <v>33</v>
      </c>
      <c r="F97" s="159"/>
      <c r="G97" s="159"/>
      <c r="H97" s="157"/>
      <c r="I97" s="158"/>
      <c r="J97" s="157"/>
      <c r="K97" s="157"/>
    </row>
    <row r="100" spans="1:11" ht="15" customHeight="1" x14ac:dyDescent="0.25">
      <c r="C100" s="18"/>
      <c r="D100" s="18"/>
      <c r="E100" s="18"/>
      <c r="F100" s="18"/>
    </row>
  </sheetData>
  <mergeCells count="196">
    <mergeCell ref="K89:K91"/>
    <mergeCell ref="J89:J91"/>
    <mergeCell ref="I89:I91"/>
    <mergeCell ref="H89:H91"/>
    <mergeCell ref="G89:G91"/>
    <mergeCell ref="F89:F91"/>
    <mergeCell ref="K86:K88"/>
    <mergeCell ref="J86:J88"/>
    <mergeCell ref="I86:I88"/>
    <mergeCell ref="H86:H88"/>
    <mergeCell ref="G86:G88"/>
    <mergeCell ref="F86:F88"/>
    <mergeCell ref="F92:F94"/>
    <mergeCell ref="K95:K97"/>
    <mergeCell ref="J95:J97"/>
    <mergeCell ref="I95:I97"/>
    <mergeCell ref="H95:H97"/>
    <mergeCell ref="G95:G97"/>
    <mergeCell ref="F95:F97"/>
    <mergeCell ref="K92:K94"/>
    <mergeCell ref="J92:J94"/>
    <mergeCell ref="I92:I94"/>
    <mergeCell ref="H92:H94"/>
    <mergeCell ref="G92:G94"/>
    <mergeCell ref="F80:F82"/>
    <mergeCell ref="K83:K85"/>
    <mergeCell ref="J83:J85"/>
    <mergeCell ref="I83:I85"/>
    <mergeCell ref="H83:H85"/>
    <mergeCell ref="G83:G85"/>
    <mergeCell ref="F83:F85"/>
    <mergeCell ref="K80:K82"/>
    <mergeCell ref="J80:J82"/>
    <mergeCell ref="I80:I82"/>
    <mergeCell ref="H80:H82"/>
    <mergeCell ref="G80:G82"/>
    <mergeCell ref="F74:F76"/>
    <mergeCell ref="K77:K79"/>
    <mergeCell ref="J77:J79"/>
    <mergeCell ref="I77:I79"/>
    <mergeCell ref="H77:H79"/>
    <mergeCell ref="G77:G79"/>
    <mergeCell ref="F77:F79"/>
    <mergeCell ref="K74:K76"/>
    <mergeCell ref="J74:J76"/>
    <mergeCell ref="I74:I76"/>
    <mergeCell ref="H74:H76"/>
    <mergeCell ref="G74:G76"/>
    <mergeCell ref="F68:F70"/>
    <mergeCell ref="K71:K73"/>
    <mergeCell ref="J71:J73"/>
    <mergeCell ref="I71:I73"/>
    <mergeCell ref="H71:H73"/>
    <mergeCell ref="G71:G73"/>
    <mergeCell ref="F71:F73"/>
    <mergeCell ref="K68:K70"/>
    <mergeCell ref="J68:J70"/>
    <mergeCell ref="I68:I70"/>
    <mergeCell ref="H68:H70"/>
    <mergeCell ref="G68:G70"/>
    <mergeCell ref="F62:F64"/>
    <mergeCell ref="K65:K67"/>
    <mergeCell ref="J65:J67"/>
    <mergeCell ref="I65:I67"/>
    <mergeCell ref="H65:H67"/>
    <mergeCell ref="G65:G67"/>
    <mergeCell ref="F65:F67"/>
    <mergeCell ref="K62:K64"/>
    <mergeCell ref="J62:J64"/>
    <mergeCell ref="I62:I64"/>
    <mergeCell ref="H62:H64"/>
    <mergeCell ref="G62:G64"/>
    <mergeCell ref="F56:F58"/>
    <mergeCell ref="K59:K61"/>
    <mergeCell ref="J59:J61"/>
    <mergeCell ref="I59:I61"/>
    <mergeCell ref="H59:H61"/>
    <mergeCell ref="G59:G61"/>
    <mergeCell ref="F59:F61"/>
    <mergeCell ref="K56:K58"/>
    <mergeCell ref="J56:J58"/>
    <mergeCell ref="I56:I58"/>
    <mergeCell ref="H56:H58"/>
    <mergeCell ref="G56:G58"/>
    <mergeCell ref="F50:F52"/>
    <mergeCell ref="K53:K55"/>
    <mergeCell ref="J53:J55"/>
    <mergeCell ref="I53:I55"/>
    <mergeCell ref="H53:H55"/>
    <mergeCell ref="G53:G55"/>
    <mergeCell ref="F53:F55"/>
    <mergeCell ref="K50:K52"/>
    <mergeCell ref="J50:J52"/>
    <mergeCell ref="I50:I52"/>
    <mergeCell ref="H50:H52"/>
    <mergeCell ref="G50:G52"/>
    <mergeCell ref="F44:F46"/>
    <mergeCell ref="K47:K49"/>
    <mergeCell ref="J47:J49"/>
    <mergeCell ref="I47:I49"/>
    <mergeCell ref="H47:H49"/>
    <mergeCell ref="G47:G49"/>
    <mergeCell ref="F47:F49"/>
    <mergeCell ref="K44:K46"/>
    <mergeCell ref="J44:J46"/>
    <mergeCell ref="I44:I46"/>
    <mergeCell ref="H44:H46"/>
    <mergeCell ref="G44:G46"/>
    <mergeCell ref="F38:F40"/>
    <mergeCell ref="K41:K43"/>
    <mergeCell ref="J41:J43"/>
    <mergeCell ref="I41:I43"/>
    <mergeCell ref="H41:H43"/>
    <mergeCell ref="G41:G43"/>
    <mergeCell ref="F41:F43"/>
    <mergeCell ref="K38:K40"/>
    <mergeCell ref="J38:J40"/>
    <mergeCell ref="I38:I40"/>
    <mergeCell ref="H38:H40"/>
    <mergeCell ref="G38:G40"/>
    <mergeCell ref="F32:F34"/>
    <mergeCell ref="K35:K37"/>
    <mergeCell ref="J35:J37"/>
    <mergeCell ref="I35:I37"/>
    <mergeCell ref="H35:H37"/>
    <mergeCell ref="G35:G37"/>
    <mergeCell ref="F35:F37"/>
    <mergeCell ref="K32:K34"/>
    <mergeCell ref="J32:J34"/>
    <mergeCell ref="I32:I34"/>
    <mergeCell ref="H32:H34"/>
    <mergeCell ref="G32:G34"/>
    <mergeCell ref="F26:F28"/>
    <mergeCell ref="K29:K31"/>
    <mergeCell ref="J29:J31"/>
    <mergeCell ref="I29:I31"/>
    <mergeCell ref="H29:H31"/>
    <mergeCell ref="G29:G31"/>
    <mergeCell ref="F29:F31"/>
    <mergeCell ref="K26:K28"/>
    <mergeCell ref="J26:J28"/>
    <mergeCell ref="I26:I28"/>
    <mergeCell ref="H26:H28"/>
    <mergeCell ref="G26:G28"/>
    <mergeCell ref="F20:F22"/>
    <mergeCell ref="K23:K25"/>
    <mergeCell ref="J23:J25"/>
    <mergeCell ref="I23:I25"/>
    <mergeCell ref="H23:H25"/>
    <mergeCell ref="G23:G25"/>
    <mergeCell ref="F23:F25"/>
    <mergeCell ref="K20:K22"/>
    <mergeCell ref="J20:J22"/>
    <mergeCell ref="I20:I22"/>
    <mergeCell ref="H20:H22"/>
    <mergeCell ref="G20:G22"/>
    <mergeCell ref="F11:F13"/>
    <mergeCell ref="K8:K10"/>
    <mergeCell ref="J8:J10"/>
    <mergeCell ref="I8:I10"/>
    <mergeCell ref="H8:H10"/>
    <mergeCell ref="G8:G10"/>
    <mergeCell ref="F14:F16"/>
    <mergeCell ref="K17:K19"/>
    <mergeCell ref="J17:J19"/>
    <mergeCell ref="I17:I19"/>
    <mergeCell ref="H17:H19"/>
    <mergeCell ref="G17:G19"/>
    <mergeCell ref="F17:F19"/>
    <mergeCell ref="K14:K16"/>
    <mergeCell ref="J14:J16"/>
    <mergeCell ref="I14:I16"/>
    <mergeCell ref="H14:H16"/>
    <mergeCell ref="G14:G16"/>
    <mergeCell ref="F2:F4"/>
    <mergeCell ref="K5:K7"/>
    <mergeCell ref="J5:J7"/>
    <mergeCell ref="I5:I7"/>
    <mergeCell ref="H5:H7"/>
    <mergeCell ref="G5:G7"/>
    <mergeCell ref="F5:F7"/>
    <mergeCell ref="P1:P2"/>
    <mergeCell ref="F8:F10"/>
    <mergeCell ref="Q20:U20"/>
    <mergeCell ref="Q21:U21"/>
    <mergeCell ref="Q22:U22"/>
    <mergeCell ref="K2:K4"/>
    <mergeCell ref="J2:J4"/>
    <mergeCell ref="I2:I4"/>
    <mergeCell ref="H2:H4"/>
    <mergeCell ref="G2:G4"/>
    <mergeCell ref="K11:K13"/>
    <mergeCell ref="J11:J13"/>
    <mergeCell ref="I11:I13"/>
    <mergeCell ref="H11:H13"/>
    <mergeCell ref="G11:G13"/>
  </mergeCells>
  <pageMargins left="0.7" right="0.7" top="0.75" bottom="0.75" header="0.3" footer="0.3"/>
  <pageSetup scale="79" orientation="portrait" r:id="rId1"/>
  <colBreaks count="1" manualBreakCount="1">
    <brk id="3" max="1048575" man="1"/>
  </colBreaks>
  <ignoredErrors>
    <ignoredError sqref="H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Assay Quick Start Guide</vt:lpstr>
      <vt:lpstr>Array Quick Start Guide</vt:lpstr>
      <vt:lpstr>Raw Data &amp; Analysis Setup</vt:lpstr>
      <vt:lpstr>Results</vt:lpstr>
      <vt:lpstr>Calculation</vt:lpstr>
      <vt:lpstr>'Assay Quick Start Guide'!OLE_LINK1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2017-02-13T18:50:26Z</dcterms:modified>
</cp:coreProperties>
</file>